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95" yWindow="-180" windowWidth="20115" windowHeight="4545" firstSheet="1" activeTab="3"/>
  </bookViews>
  <sheets>
    <sheet name="spotreby 2015 az 2023" sheetId="2" r:id="rId1"/>
    <sheet name="chod spotreby 2020-2023" sheetId="15" r:id="rId2"/>
    <sheet name="rocni spotřeby" sheetId="21" r:id="rId3"/>
    <sheet name="Konírna a domeček 23" sheetId="24" r:id="rId4"/>
    <sheet name="chod spotreby 2015-2019" sheetId="23" r:id="rId5"/>
    <sheet name="růst ceny" sheetId="19" r:id="rId6"/>
    <sheet name="List1" sheetId="22" r:id="rId7"/>
  </sheets>
  <calcPr calcId="145621"/>
</workbook>
</file>

<file path=xl/calcChain.xml><?xml version="1.0" encoding="utf-8"?>
<calcChain xmlns="http://schemas.openxmlformats.org/spreadsheetml/2006/main">
  <c r="H9" i="24" l="1"/>
  <c r="K23" i="15" l="1"/>
  <c r="K19" i="15"/>
  <c r="D83" i="2"/>
  <c r="F83" i="2" s="1"/>
  <c r="I83" i="2"/>
  <c r="J83" i="2" s="1"/>
  <c r="K83" i="2"/>
  <c r="L83" i="2"/>
  <c r="M83" i="2" s="1"/>
  <c r="J19" i="15" l="1"/>
  <c r="F74" i="2"/>
  <c r="D74" i="2"/>
  <c r="I74" i="2"/>
  <c r="J74" i="2" s="1"/>
  <c r="K74" i="2" l="1"/>
  <c r="J23" i="15"/>
  <c r="L74" i="2"/>
  <c r="M74" i="2" s="1"/>
  <c r="C65" i="2"/>
  <c r="H23" i="15"/>
  <c r="I19" i="15"/>
  <c r="H19" i="15"/>
  <c r="D65" i="2"/>
  <c r="F65" i="2" s="1"/>
  <c r="I65" i="2"/>
  <c r="J65" i="2" s="1"/>
  <c r="I23" i="15" l="1"/>
  <c r="K65" i="2"/>
  <c r="L65" i="2"/>
  <c r="M65" i="2" s="1"/>
  <c r="I56" i="2"/>
  <c r="J56" i="2" s="1"/>
  <c r="K56" i="2"/>
  <c r="D56" i="2"/>
  <c r="F56" i="2" s="1"/>
  <c r="L56" i="2" l="1"/>
  <c r="M56" i="2" s="1"/>
  <c r="F23" i="15"/>
  <c r="G19" i="15"/>
  <c r="F19" i="15"/>
  <c r="D47" i="2"/>
  <c r="F47" i="2" s="1"/>
  <c r="I47" i="2"/>
  <c r="J47" i="2" s="1"/>
  <c r="L47" i="2" l="1"/>
  <c r="G23" i="15"/>
  <c r="K47" i="2"/>
  <c r="I38" i="2"/>
  <c r="J38" i="2" s="1"/>
  <c r="K38" i="2"/>
  <c r="L38" i="2"/>
  <c r="D38" i="2"/>
  <c r="F38" i="2" s="1"/>
  <c r="M47" i="2" l="1"/>
  <c r="M38" i="2"/>
  <c r="E19" i="15"/>
  <c r="D29" i="2"/>
  <c r="F29" i="2" s="1"/>
  <c r="I29" i="2"/>
  <c r="L29" i="2" s="1"/>
  <c r="E23" i="15" l="1"/>
  <c r="K29" i="2"/>
  <c r="M29" i="2" s="1"/>
  <c r="J29" i="2"/>
  <c r="D19" i="15"/>
  <c r="F20" i="2"/>
  <c r="D20" i="2"/>
  <c r="I20" i="2"/>
  <c r="L20" i="2" s="1"/>
  <c r="J20" i="2"/>
  <c r="D23" i="15" l="1"/>
  <c r="K20" i="2"/>
  <c r="M20" i="2"/>
  <c r="D11" i="2"/>
  <c r="F11" i="2" s="1"/>
  <c r="D20" i="15" l="1"/>
  <c r="D21" i="15"/>
  <c r="D22" i="15"/>
  <c r="C19" i="15"/>
  <c r="K12" i="19" l="1"/>
  <c r="K11" i="19"/>
  <c r="K10" i="19"/>
  <c r="K9" i="19"/>
  <c r="M11" i="2"/>
  <c r="I11" i="2"/>
  <c r="J11" i="2" s="1"/>
  <c r="H120" i="2"/>
  <c r="E11" i="21" s="1"/>
  <c r="G120" i="2"/>
  <c r="D11" i="21" s="1"/>
  <c r="E120" i="2"/>
  <c r="C11" i="21" s="1"/>
  <c r="D120" i="2"/>
  <c r="C120" i="2"/>
  <c r="I120" i="2" l="1"/>
  <c r="L120" i="2" s="1"/>
  <c r="F120" i="2"/>
  <c r="L11" i="2"/>
  <c r="K11" i="2"/>
  <c r="C23" i="15"/>
  <c r="N22" i="15"/>
  <c r="N18" i="15"/>
  <c r="M18" i="15"/>
  <c r="L18" i="15"/>
  <c r="K18" i="15"/>
  <c r="J18" i="15"/>
  <c r="I18" i="15"/>
  <c r="H18" i="15"/>
  <c r="G18" i="15"/>
  <c r="F18" i="15"/>
  <c r="E22" i="15"/>
  <c r="E18" i="15"/>
  <c r="D18" i="15"/>
  <c r="C119" i="2"/>
  <c r="E119" i="2"/>
  <c r="G119" i="2"/>
  <c r="H119" i="2"/>
  <c r="F11" i="21" l="1"/>
  <c r="K120" i="2"/>
  <c r="J120" i="2"/>
  <c r="E10" i="21"/>
  <c r="D10" i="21"/>
  <c r="C10" i="21"/>
  <c r="M120" i="2" l="1"/>
  <c r="I100" i="2"/>
  <c r="D100" i="2"/>
  <c r="F100" i="2" s="1"/>
  <c r="I91" i="2"/>
  <c r="D91" i="2"/>
  <c r="F91" i="2" s="1"/>
  <c r="I82" i="2"/>
  <c r="D82" i="2"/>
  <c r="F82" i="2" s="1"/>
  <c r="I73" i="2"/>
  <c r="C73" i="2"/>
  <c r="D73" i="2" s="1"/>
  <c r="F73" i="2" s="1"/>
  <c r="I64" i="2"/>
  <c r="D64" i="2"/>
  <c r="F64" i="2" s="1"/>
  <c r="C64" i="2"/>
  <c r="I55" i="2"/>
  <c r="D55" i="2"/>
  <c r="F55" i="2" s="1"/>
  <c r="I46" i="2"/>
  <c r="D46" i="2"/>
  <c r="F46" i="2" s="1"/>
  <c r="I37" i="2"/>
  <c r="D37" i="2"/>
  <c r="K37" i="2" l="1"/>
  <c r="F22" i="15"/>
  <c r="I119" i="2"/>
  <c r="L119" i="2" s="1"/>
  <c r="L46" i="2"/>
  <c r="G22" i="15"/>
  <c r="L55" i="2"/>
  <c r="H22" i="15"/>
  <c r="K82" i="2"/>
  <c r="K22" i="15"/>
  <c r="F37" i="2"/>
  <c r="D119" i="2"/>
  <c r="L64" i="2"/>
  <c r="I22" i="15"/>
  <c r="L73" i="2"/>
  <c r="J22" i="15"/>
  <c r="J82" i="2"/>
  <c r="L91" i="2"/>
  <c r="L22" i="15"/>
  <c r="K100" i="2"/>
  <c r="M22" i="15"/>
  <c r="L82" i="2"/>
  <c r="J100" i="2"/>
  <c r="L100" i="2"/>
  <c r="M100" i="2" s="1"/>
  <c r="K91" i="2"/>
  <c r="J91" i="2"/>
  <c r="K73" i="2"/>
  <c r="M73" i="2" s="1"/>
  <c r="J73" i="2"/>
  <c r="K64" i="2"/>
  <c r="J64" i="2"/>
  <c r="K55" i="2"/>
  <c r="J55" i="2"/>
  <c r="K46" i="2"/>
  <c r="M46" i="2" s="1"/>
  <c r="J46" i="2"/>
  <c r="J37" i="2"/>
  <c r="L37" i="2"/>
  <c r="M91" i="2" l="1"/>
  <c r="M37" i="2"/>
  <c r="M82" i="2"/>
  <c r="M55" i="2"/>
  <c r="M64" i="2"/>
  <c r="D10" i="2"/>
  <c r="F10" i="2" s="1"/>
  <c r="C18" i="15"/>
  <c r="M10" i="2"/>
  <c r="I10" i="2"/>
  <c r="J10" i="2" l="1"/>
  <c r="C22" i="15"/>
  <c r="L10" i="2"/>
  <c r="K10" i="2"/>
  <c r="L106" i="2" l="1"/>
  <c r="I108" i="2"/>
  <c r="K108" i="2" s="1"/>
  <c r="D108" i="2"/>
  <c r="F108" i="2" s="1"/>
  <c r="L108" i="2" l="1"/>
  <c r="M108" i="2" s="1"/>
  <c r="J108" i="2"/>
  <c r="N21" i="15"/>
  <c r="N17" i="15"/>
  <c r="F106" i="2" l="1"/>
  <c r="F103" i="2"/>
  <c r="F102" i="2"/>
  <c r="F97" i="2"/>
  <c r="M17" i="15" l="1"/>
  <c r="D99" i="2"/>
  <c r="F99" i="2" s="1"/>
  <c r="I99" i="2"/>
  <c r="J99" i="2" s="1"/>
  <c r="L99" i="2" l="1"/>
  <c r="M21" i="15"/>
  <c r="K99" i="2"/>
  <c r="J12" i="19"/>
  <c r="J11" i="19"/>
  <c r="M99" i="2" l="1"/>
  <c r="J9" i="19"/>
  <c r="J10" i="19"/>
  <c r="L17" i="15"/>
  <c r="D90" i="2"/>
  <c r="I90" i="2"/>
  <c r="J90" i="2" s="1"/>
  <c r="F90" i="2" l="1"/>
  <c r="L21" i="15"/>
  <c r="K90" i="2"/>
  <c r="L90" i="2"/>
  <c r="M90" i="2" l="1"/>
  <c r="K17" i="15"/>
  <c r="J17" i="15"/>
  <c r="I81" i="2"/>
  <c r="J81" i="2" s="1"/>
  <c r="D81" i="2"/>
  <c r="F81" i="2" s="1"/>
  <c r="K21" i="15" l="1"/>
  <c r="K81" i="2"/>
  <c r="L81" i="2"/>
  <c r="I72" i="2"/>
  <c r="K72" i="2" s="1"/>
  <c r="D72" i="2"/>
  <c r="F72" i="2" s="1"/>
  <c r="L72" i="2" l="1"/>
  <c r="M72" i="2" s="1"/>
  <c r="M81" i="2"/>
  <c r="J72" i="2"/>
  <c r="J21" i="15"/>
  <c r="I17" i="15"/>
  <c r="I63" i="2"/>
  <c r="J63" i="2" s="1"/>
  <c r="D63" i="2"/>
  <c r="F63" i="2" s="1"/>
  <c r="I21" i="15" l="1"/>
  <c r="K63" i="2"/>
  <c r="L63" i="2"/>
  <c r="D54" i="2"/>
  <c r="F54" i="2" s="1"/>
  <c r="I54" i="2"/>
  <c r="L54" i="2" s="1"/>
  <c r="M63" i="2" l="1"/>
  <c r="K54" i="2"/>
  <c r="M54" i="2" s="1"/>
  <c r="J54" i="2"/>
  <c r="H21" i="15" l="1"/>
  <c r="H17" i="15"/>
  <c r="G17" i="15" l="1"/>
  <c r="D45" i="2" l="1"/>
  <c r="F45" i="2" s="1"/>
  <c r="I45" i="2"/>
  <c r="L45" i="2" s="1"/>
  <c r="K45" i="2" l="1"/>
  <c r="M45" i="2" s="1"/>
  <c r="G21" i="15"/>
  <c r="J45" i="2"/>
  <c r="I36" i="2"/>
  <c r="L36" i="2" s="1"/>
  <c r="D36" i="2"/>
  <c r="F36" i="2" s="1"/>
  <c r="J36" i="2" l="1"/>
  <c r="K36" i="2"/>
  <c r="M36" i="2" s="1"/>
  <c r="F21" i="15"/>
  <c r="F17" i="15"/>
  <c r="I27" i="2" l="1"/>
  <c r="J27" i="2" s="1"/>
  <c r="D27" i="2"/>
  <c r="F27" i="2" s="1"/>
  <c r="L27" i="2" l="1"/>
  <c r="K27" i="2"/>
  <c r="E21" i="15"/>
  <c r="E17" i="15"/>
  <c r="M27" i="2" l="1"/>
  <c r="N26" i="23"/>
  <c r="M26" i="23"/>
  <c r="N23" i="23"/>
  <c r="N21" i="23"/>
  <c r="M21" i="23"/>
  <c r="L21" i="23"/>
  <c r="K21" i="23"/>
  <c r="J21" i="23"/>
  <c r="I21" i="23"/>
  <c r="H21" i="23"/>
  <c r="G21" i="23"/>
  <c r="F21" i="23"/>
  <c r="E21" i="23"/>
  <c r="D21" i="23"/>
  <c r="C21" i="23"/>
  <c r="N20" i="23"/>
  <c r="M20" i="23"/>
  <c r="L20" i="23"/>
  <c r="K20" i="23"/>
  <c r="J20" i="23"/>
  <c r="I20" i="23"/>
  <c r="H20" i="23"/>
  <c r="G20" i="23"/>
  <c r="F20" i="23"/>
  <c r="E20" i="23"/>
  <c r="D20" i="23"/>
  <c r="C20" i="23"/>
  <c r="N19" i="23"/>
  <c r="M19" i="23"/>
  <c r="L19" i="23"/>
  <c r="K19" i="23"/>
  <c r="J19" i="23"/>
  <c r="I19" i="23"/>
  <c r="H19" i="23"/>
  <c r="G19" i="23"/>
  <c r="F19" i="23"/>
  <c r="E19" i="23"/>
  <c r="D19" i="23"/>
  <c r="C19" i="23"/>
  <c r="N18" i="23"/>
  <c r="M18" i="23"/>
  <c r="L18" i="23"/>
  <c r="K18" i="23"/>
  <c r="J18" i="23"/>
  <c r="I18" i="23"/>
  <c r="H18" i="23"/>
  <c r="G18" i="23"/>
  <c r="N17" i="23"/>
  <c r="D17" i="15" l="1"/>
  <c r="I18" i="2"/>
  <c r="D18" i="2"/>
  <c r="F18" i="2" s="1"/>
  <c r="J18" i="2" l="1"/>
  <c r="K18" i="2"/>
  <c r="L18" i="2"/>
  <c r="M18" i="2" l="1"/>
  <c r="D9" i="2"/>
  <c r="M9" i="2"/>
  <c r="I9" i="2"/>
  <c r="F10" i="21" s="1"/>
  <c r="F9" i="2" l="1"/>
  <c r="F119" i="2"/>
  <c r="K119" i="2"/>
  <c r="J119" i="2"/>
  <c r="L9" i="2"/>
  <c r="K9" i="2"/>
  <c r="J9" i="2"/>
  <c r="C21" i="15"/>
  <c r="C17" i="15"/>
  <c r="I118" i="2"/>
  <c r="L118" i="2" s="1"/>
  <c r="H118" i="2"/>
  <c r="G118" i="2"/>
  <c r="D9" i="21" s="1"/>
  <c r="E118" i="2"/>
  <c r="D118" i="2"/>
  <c r="C118" i="2"/>
  <c r="M119" i="2" l="1"/>
  <c r="C9" i="21"/>
  <c r="K118" i="2"/>
  <c r="M118" i="2" s="1"/>
  <c r="J118" i="2"/>
  <c r="E9" i="21"/>
  <c r="F9" i="21"/>
  <c r="F118" i="2"/>
  <c r="N16" i="15"/>
  <c r="I107" i="2"/>
  <c r="L107" i="2" s="1"/>
  <c r="D107" i="2"/>
  <c r="F107" i="2" s="1"/>
  <c r="K107" i="2" l="1"/>
  <c r="M107" i="2" s="1"/>
  <c r="N27" i="23"/>
  <c r="J107" i="2"/>
  <c r="N20" i="15"/>
  <c r="M106" i="2"/>
  <c r="M16" i="15" l="1"/>
  <c r="I98" i="2"/>
  <c r="D98" i="2"/>
  <c r="F98" i="2" s="1"/>
  <c r="M20" i="15" l="1"/>
  <c r="M27" i="23"/>
  <c r="L98" i="2"/>
  <c r="J98" i="2"/>
  <c r="K98" i="2"/>
  <c r="L16" i="15"/>
  <c r="M98" i="2" l="1"/>
  <c r="I89" i="2"/>
  <c r="L27" i="23" s="1"/>
  <c r="D89" i="2"/>
  <c r="F89" i="2" s="1"/>
  <c r="J89" i="2" l="1"/>
  <c r="L20" i="15"/>
  <c r="K89" i="2"/>
  <c r="L89" i="2"/>
  <c r="K16" i="15"/>
  <c r="I80" i="2"/>
  <c r="D80" i="2"/>
  <c r="F80" i="2" s="1"/>
  <c r="J80" i="2" l="1"/>
  <c r="K27" i="23"/>
  <c r="L80" i="2"/>
  <c r="K20" i="15"/>
  <c r="M89" i="2"/>
  <c r="K80" i="2"/>
  <c r="J16" i="15"/>
  <c r="I16" i="15"/>
  <c r="H16" i="15"/>
  <c r="M80" i="2" l="1"/>
  <c r="I71" i="2"/>
  <c r="J27" i="23" s="1"/>
  <c r="D71" i="2"/>
  <c r="F71" i="2" s="1"/>
  <c r="J71" i="2" l="1"/>
  <c r="J20" i="15"/>
  <c r="K71" i="2"/>
  <c r="L71" i="2"/>
  <c r="I62" i="2"/>
  <c r="I27" i="23" s="1"/>
  <c r="D62" i="2"/>
  <c r="F62" i="2" s="1"/>
  <c r="J62" i="2" l="1"/>
  <c r="I20" i="15"/>
  <c r="M71" i="2"/>
  <c r="K62" i="2"/>
  <c r="L62" i="2"/>
  <c r="I53" i="2"/>
  <c r="H27" i="23" s="1"/>
  <c r="D53" i="2"/>
  <c r="F53" i="2" s="1"/>
  <c r="J53" i="2" l="1"/>
  <c r="H20" i="15"/>
  <c r="M62" i="2"/>
  <c r="K53" i="2"/>
  <c r="L53" i="2"/>
  <c r="G16" i="15"/>
  <c r="I44" i="2"/>
  <c r="D44" i="2"/>
  <c r="F44" i="2" s="1"/>
  <c r="J44" i="2" l="1"/>
  <c r="G27" i="23"/>
  <c r="G20" i="15"/>
  <c r="K44" i="2"/>
  <c r="M53" i="2"/>
  <c r="L44" i="2"/>
  <c r="M44" i="2" s="1"/>
  <c r="I35" i="2"/>
  <c r="L35" i="2" s="1"/>
  <c r="D35" i="2"/>
  <c r="F35" i="2" s="1"/>
  <c r="J35" i="2" l="1"/>
  <c r="F27" i="23"/>
  <c r="K35" i="2"/>
  <c r="F20" i="15"/>
  <c r="F16" i="15"/>
  <c r="I12" i="19"/>
  <c r="I11" i="19"/>
  <c r="I10" i="19"/>
  <c r="I9" i="19"/>
  <c r="M35" i="2" l="1"/>
  <c r="E16" i="15"/>
  <c r="I26" i="2"/>
  <c r="D26" i="2"/>
  <c r="F26" i="2" s="1"/>
  <c r="J26" i="2" l="1"/>
  <c r="E27" i="23"/>
  <c r="E20" i="15"/>
  <c r="K26" i="2"/>
  <c r="L26" i="2"/>
  <c r="M26" i="2" l="1"/>
  <c r="D16" i="15"/>
  <c r="I17" i="2"/>
  <c r="D27" i="23" s="1"/>
  <c r="D17" i="2"/>
  <c r="F17" i="2" s="1"/>
  <c r="J17" i="2" l="1"/>
  <c r="L17" i="2"/>
  <c r="K17" i="2"/>
  <c r="E117" i="2"/>
  <c r="M17" i="2" l="1"/>
  <c r="D8" i="2"/>
  <c r="F8" i="2" s="1"/>
  <c r="M8" i="2" l="1"/>
  <c r="I8" i="2" l="1"/>
  <c r="C27" i="23" s="1"/>
  <c r="J8" i="2" l="1"/>
  <c r="K8" i="2"/>
  <c r="L8" i="2"/>
  <c r="H12" i="19" l="1"/>
  <c r="G12" i="19"/>
  <c r="H11" i="19"/>
  <c r="G11" i="19"/>
  <c r="H10" i="19"/>
  <c r="G10" i="19"/>
  <c r="F10" i="19"/>
  <c r="H9" i="19"/>
  <c r="G9" i="19"/>
  <c r="F9" i="19"/>
  <c r="C20" i="15" l="1"/>
  <c r="C16" i="15"/>
  <c r="I117" i="2"/>
  <c r="L117" i="2" s="1"/>
  <c r="H117" i="2"/>
  <c r="E8" i="21" s="1"/>
  <c r="G117" i="2"/>
  <c r="D8" i="21" s="1"/>
  <c r="D117" i="2"/>
  <c r="C117" i="2"/>
  <c r="C8" i="21" l="1"/>
  <c r="F117" i="2"/>
  <c r="J117" i="2"/>
  <c r="K117" i="2"/>
  <c r="F8" i="21"/>
  <c r="D88" i="2"/>
  <c r="F88" i="2" s="1"/>
  <c r="I88" i="2"/>
  <c r="J88" i="2" l="1"/>
  <c r="L26" i="23"/>
  <c r="M117" i="2"/>
  <c r="K88" i="2"/>
  <c r="L88" i="2"/>
  <c r="M88" i="2" l="1"/>
  <c r="D79" i="2" l="1"/>
  <c r="F79" i="2" s="1"/>
  <c r="I79" i="2"/>
  <c r="K26" i="23" l="1"/>
  <c r="K79" i="2"/>
  <c r="L79" i="2"/>
  <c r="J79" i="2"/>
  <c r="M79" i="2" l="1"/>
  <c r="D70" i="2" l="1"/>
  <c r="F70" i="2" s="1"/>
  <c r="I70" i="2"/>
  <c r="J70" i="2" l="1"/>
  <c r="J26" i="23"/>
  <c r="K70" i="2"/>
  <c r="L70" i="2"/>
  <c r="D61" i="2"/>
  <c r="F61" i="2" s="1"/>
  <c r="I61" i="2"/>
  <c r="M70" i="2" l="1"/>
  <c r="J61" i="2"/>
  <c r="I26" i="23"/>
  <c r="K61" i="2"/>
  <c r="L61" i="2"/>
  <c r="M61" i="2" l="1"/>
  <c r="I52" i="2"/>
  <c r="C52" i="2"/>
  <c r="D52" i="2" s="1"/>
  <c r="F52" i="2" s="1"/>
  <c r="H26" i="23" l="1"/>
  <c r="L52" i="2"/>
  <c r="K52" i="2"/>
  <c r="J52" i="2"/>
  <c r="D43" i="2"/>
  <c r="F43" i="2" s="1"/>
  <c r="I43" i="2"/>
  <c r="G26" i="23" l="1"/>
  <c r="M52" i="2"/>
  <c r="L43" i="2"/>
  <c r="J43" i="2"/>
  <c r="K43" i="2"/>
  <c r="M43" i="2" s="1"/>
  <c r="G7" i="19"/>
  <c r="F7" i="19"/>
  <c r="E7" i="19"/>
  <c r="D7" i="19"/>
  <c r="C34" i="2" l="1"/>
  <c r="D34" i="2" s="1"/>
  <c r="F34" i="2" s="1"/>
  <c r="I34" i="2" l="1"/>
  <c r="F26" i="23" s="1"/>
  <c r="J34" i="2" l="1"/>
  <c r="K34" i="2"/>
  <c r="L34" i="2"/>
  <c r="D25" i="2"/>
  <c r="F25" i="2" s="1"/>
  <c r="I25" i="2"/>
  <c r="J25" i="2" l="1"/>
  <c r="E26" i="23"/>
  <c r="K25" i="2"/>
  <c r="M34" i="2"/>
  <c r="L25" i="2"/>
  <c r="M25" i="2" l="1"/>
  <c r="D16" i="2"/>
  <c r="F16" i="2" s="1"/>
  <c r="I16" i="2"/>
  <c r="I7" i="2"/>
  <c r="D7" i="2"/>
  <c r="F7" i="2" s="1"/>
  <c r="I105" i="2"/>
  <c r="D105" i="2"/>
  <c r="F105" i="2" s="1"/>
  <c r="J16" i="2" l="1"/>
  <c r="D26" i="23"/>
  <c r="J7" i="2"/>
  <c r="C26" i="23"/>
  <c r="L105" i="2"/>
  <c r="N25" i="23"/>
  <c r="L16" i="2"/>
  <c r="K7" i="2"/>
  <c r="K16" i="2"/>
  <c r="L7" i="2"/>
  <c r="K105" i="2"/>
  <c r="J105" i="2"/>
  <c r="M105" i="2" l="1"/>
  <c r="M7" i="2"/>
  <c r="M16" i="2"/>
  <c r="L103" i="2"/>
  <c r="M103" i="2" s="1"/>
  <c r="I96" i="2"/>
  <c r="D96" i="2"/>
  <c r="F96" i="2" s="1"/>
  <c r="I87" i="2"/>
  <c r="L25" i="23" s="1"/>
  <c r="D87" i="2"/>
  <c r="F87" i="2" s="1"/>
  <c r="J96" i="2" l="1"/>
  <c r="M25" i="23"/>
  <c r="L96" i="2"/>
  <c r="K87" i="2"/>
  <c r="L87" i="2"/>
  <c r="K96" i="2"/>
  <c r="J87" i="2"/>
  <c r="M96" i="2" l="1"/>
  <c r="M87" i="2"/>
  <c r="I116" i="2"/>
  <c r="H116" i="2"/>
  <c r="E7" i="21" s="1"/>
  <c r="G116" i="2"/>
  <c r="D7" i="21" s="1"/>
  <c r="D116" i="2"/>
  <c r="C116" i="2"/>
  <c r="L116" i="2" l="1"/>
  <c r="F7" i="21"/>
  <c r="J116" i="2"/>
  <c r="I78" i="2" l="1"/>
  <c r="K25" i="23" s="1"/>
  <c r="D78" i="2"/>
  <c r="F78" i="2" s="1"/>
  <c r="I69" i="2"/>
  <c r="J25" i="23" s="1"/>
  <c r="D69" i="2"/>
  <c r="F69" i="2" s="1"/>
  <c r="I60" i="2"/>
  <c r="I25" i="23" s="1"/>
  <c r="D60" i="2"/>
  <c r="F60" i="2" s="1"/>
  <c r="I51" i="2"/>
  <c r="H25" i="23" s="1"/>
  <c r="D51" i="2"/>
  <c r="F51" i="2" s="1"/>
  <c r="I42" i="2"/>
  <c r="G25" i="23" s="1"/>
  <c r="D42" i="2"/>
  <c r="F42" i="2" s="1"/>
  <c r="I33" i="2"/>
  <c r="F25" i="23" s="1"/>
  <c r="D33" i="2"/>
  <c r="F33" i="2" s="1"/>
  <c r="I24" i="2"/>
  <c r="E25" i="23" s="1"/>
  <c r="D24" i="2"/>
  <c r="F24" i="2" s="1"/>
  <c r="K24" i="2" l="1"/>
  <c r="L24" i="2"/>
  <c r="K33" i="2"/>
  <c r="L33" i="2"/>
  <c r="K60" i="2"/>
  <c r="L60" i="2"/>
  <c r="J69" i="2"/>
  <c r="L69" i="2"/>
  <c r="K42" i="2"/>
  <c r="L42" i="2"/>
  <c r="K51" i="2"/>
  <c r="L51" i="2"/>
  <c r="K78" i="2"/>
  <c r="L78" i="2"/>
  <c r="J33" i="2"/>
  <c r="J42" i="2"/>
  <c r="J24" i="2"/>
  <c r="J51" i="2"/>
  <c r="J60" i="2"/>
  <c r="J78" i="2"/>
  <c r="K69" i="2"/>
  <c r="M51" i="2" l="1"/>
  <c r="M60" i="2"/>
  <c r="M33" i="2"/>
  <c r="M78" i="2"/>
  <c r="M42" i="2"/>
  <c r="M69" i="2"/>
  <c r="M24" i="2"/>
  <c r="D15" i="2"/>
  <c r="I15" i="2"/>
  <c r="D25" i="23" s="1"/>
  <c r="I6" i="2"/>
  <c r="C25" i="23" s="1"/>
  <c r="D6" i="2"/>
  <c r="F6" i="2" s="1"/>
  <c r="H115" i="2"/>
  <c r="G115" i="2"/>
  <c r="E115" i="2"/>
  <c r="C115" i="2"/>
  <c r="J6" i="2" l="1"/>
  <c r="L6" i="2"/>
  <c r="F15" i="2"/>
  <c r="E116" i="2"/>
  <c r="J15" i="2"/>
  <c r="L15" i="2"/>
  <c r="K15" i="2"/>
  <c r="K6" i="2"/>
  <c r="D115" i="2"/>
  <c r="F115" i="2" s="1"/>
  <c r="I115" i="2"/>
  <c r="I104" i="2"/>
  <c r="N24" i="23" s="1"/>
  <c r="D104" i="2"/>
  <c r="F104" i="2" s="1"/>
  <c r="I95" i="2"/>
  <c r="M24" i="23" s="1"/>
  <c r="D95" i="2"/>
  <c r="F95" i="2" s="1"/>
  <c r="I86" i="2"/>
  <c r="L24" i="23" s="1"/>
  <c r="C7" i="21" l="1"/>
  <c r="K104" i="2"/>
  <c r="L104" i="2"/>
  <c r="K86" i="2"/>
  <c r="L86" i="2"/>
  <c r="K95" i="2"/>
  <c r="L95" i="2"/>
  <c r="M15" i="2"/>
  <c r="F116" i="2"/>
  <c r="K116" i="2"/>
  <c r="M116" i="2" s="1"/>
  <c r="M6" i="2"/>
  <c r="K115" i="2"/>
  <c r="L115" i="2"/>
  <c r="J115" i="2"/>
  <c r="J95" i="2"/>
  <c r="J104" i="2"/>
  <c r="J86" i="2"/>
  <c r="D86" i="2"/>
  <c r="F86" i="2" s="1"/>
  <c r="I77" i="2"/>
  <c r="K24" i="23" s="1"/>
  <c r="D77" i="2"/>
  <c r="F77" i="2" s="1"/>
  <c r="I68" i="2"/>
  <c r="J24" i="23" s="1"/>
  <c r="D68" i="2"/>
  <c r="F68" i="2" s="1"/>
  <c r="I59" i="2"/>
  <c r="I24" i="23" s="1"/>
  <c r="D59" i="2"/>
  <c r="F59" i="2" s="1"/>
  <c r="I50" i="2"/>
  <c r="H24" i="23" s="1"/>
  <c r="D50" i="2"/>
  <c r="F50" i="2" s="1"/>
  <c r="I41" i="2"/>
  <c r="G24" i="23" s="1"/>
  <c r="D41" i="2"/>
  <c r="F41" i="2" s="1"/>
  <c r="I32" i="2"/>
  <c r="F24" i="23" s="1"/>
  <c r="D32" i="2"/>
  <c r="F32" i="2" s="1"/>
  <c r="I23" i="2"/>
  <c r="E24" i="23" s="1"/>
  <c r="D23" i="2"/>
  <c r="I14" i="2"/>
  <c r="D24" i="23" s="1"/>
  <c r="D14" i="2"/>
  <c r="F14" i="2" s="1"/>
  <c r="I5" i="2"/>
  <c r="C24" i="23" s="1"/>
  <c r="D5" i="2"/>
  <c r="F5" i="2" s="1"/>
  <c r="M104" i="2" l="1"/>
  <c r="M86" i="2"/>
  <c r="M95" i="2"/>
  <c r="K14" i="2"/>
  <c r="L14" i="2"/>
  <c r="K41" i="2"/>
  <c r="L41" i="2"/>
  <c r="J50" i="2"/>
  <c r="L50" i="2"/>
  <c r="K59" i="2"/>
  <c r="L59" i="2"/>
  <c r="K77" i="2"/>
  <c r="L77" i="2"/>
  <c r="J5" i="2"/>
  <c r="L5" i="2"/>
  <c r="J23" i="2"/>
  <c r="L23" i="2"/>
  <c r="K32" i="2"/>
  <c r="L32" i="2"/>
  <c r="K68" i="2"/>
  <c r="L68" i="2"/>
  <c r="M115" i="2"/>
  <c r="J59" i="2"/>
  <c r="K5" i="2"/>
  <c r="E23" i="2"/>
  <c r="K23" i="2" s="1"/>
  <c r="J32" i="2"/>
  <c r="J41" i="2"/>
  <c r="K50" i="2"/>
  <c r="J77" i="2"/>
  <c r="J68" i="2"/>
  <c r="J14" i="2"/>
  <c r="M68" i="2" l="1"/>
  <c r="M32" i="2"/>
  <c r="M41" i="2"/>
  <c r="M59" i="2"/>
  <c r="M14" i="2"/>
  <c r="M77" i="2"/>
  <c r="M5" i="2"/>
  <c r="M23" i="2"/>
  <c r="M50" i="2"/>
  <c r="F23" i="2"/>
  <c r="I114" i="2" l="1"/>
  <c r="L114" i="2" s="1"/>
  <c r="H114" i="2"/>
  <c r="G114" i="2"/>
  <c r="D114" i="2"/>
  <c r="E114" i="2"/>
  <c r="C114" i="2"/>
  <c r="J114" i="2" l="1"/>
  <c r="F114" i="2"/>
  <c r="K114" i="2"/>
  <c r="M114" i="2" s="1"/>
  <c r="I94" i="2" l="1"/>
  <c r="M23" i="23" s="1"/>
  <c r="D94" i="2"/>
  <c r="E94" i="2" s="1"/>
  <c r="F94" i="2" s="1"/>
  <c r="D76" i="2"/>
  <c r="F76" i="2" s="1"/>
  <c r="I85" i="2"/>
  <c r="L23" i="23" s="1"/>
  <c r="D85" i="2"/>
  <c r="E85" i="2" s="1"/>
  <c r="I76" i="2"/>
  <c r="K23" i="23" s="1"/>
  <c r="I67" i="2"/>
  <c r="J23" i="23" s="1"/>
  <c r="D67" i="2"/>
  <c r="E67" i="2" s="1"/>
  <c r="I58" i="2"/>
  <c r="I23" i="23" s="1"/>
  <c r="D58" i="2"/>
  <c r="F58" i="2" s="1"/>
  <c r="C113" i="2"/>
  <c r="I49" i="2"/>
  <c r="H23" i="23" s="1"/>
  <c r="F49" i="2"/>
  <c r="H112" i="2"/>
  <c r="G112" i="2"/>
  <c r="C112" i="2"/>
  <c r="D93" i="2"/>
  <c r="E93" i="2" s="1"/>
  <c r="D84" i="2"/>
  <c r="E84" i="2" s="1"/>
  <c r="D75" i="2"/>
  <c r="E75" i="2" s="1"/>
  <c r="F75" i="2" s="1"/>
  <c r="D57" i="2"/>
  <c r="E57" i="2" s="1"/>
  <c r="D39" i="2"/>
  <c r="E39" i="2" s="1"/>
  <c r="F39" i="2" s="1"/>
  <c r="D30" i="2"/>
  <c r="E30" i="2" s="1"/>
  <c r="F30" i="2" s="1"/>
  <c r="D21" i="2"/>
  <c r="E21" i="2" s="1"/>
  <c r="E48" i="2"/>
  <c r="F48" i="2" s="1"/>
  <c r="E66" i="2"/>
  <c r="F66" i="2" s="1"/>
  <c r="I48" i="2"/>
  <c r="H22" i="23" s="1"/>
  <c r="I57" i="2"/>
  <c r="I22" i="23" s="1"/>
  <c r="I66" i="2"/>
  <c r="J22" i="23" s="1"/>
  <c r="I75" i="2"/>
  <c r="K22" i="23" s="1"/>
  <c r="I84" i="2"/>
  <c r="L22" i="23" s="1"/>
  <c r="I93" i="2"/>
  <c r="M22" i="23" s="1"/>
  <c r="I12" i="2"/>
  <c r="D22" i="23" s="1"/>
  <c r="D12" i="2"/>
  <c r="E12" i="2" s="1"/>
  <c r="I102" i="2"/>
  <c r="I39" i="2"/>
  <c r="G22" i="23" s="1"/>
  <c r="I31" i="2"/>
  <c r="F23" i="23" s="1"/>
  <c r="I30" i="2"/>
  <c r="F22" i="23" s="1"/>
  <c r="I22" i="2"/>
  <c r="E23" i="23" s="1"/>
  <c r="I21" i="2"/>
  <c r="E22" i="23" s="1"/>
  <c r="I4" i="2"/>
  <c r="C23" i="23" s="1"/>
  <c r="I3" i="2"/>
  <c r="C22" i="23" s="1"/>
  <c r="I40" i="2"/>
  <c r="G23" i="23" s="1"/>
  <c r="D40" i="2"/>
  <c r="E40" i="2" s="1"/>
  <c r="D31" i="2"/>
  <c r="E22" i="2"/>
  <c r="F22" i="2" s="1"/>
  <c r="E13" i="2"/>
  <c r="F13" i="2" s="1"/>
  <c r="H13" i="2"/>
  <c r="H113" i="2" s="1"/>
  <c r="G13" i="2"/>
  <c r="G113" i="2" s="1"/>
  <c r="E3" i="2"/>
  <c r="E4" i="2"/>
  <c r="F4" i="2" s="1"/>
  <c r="J4" i="2" l="1"/>
  <c r="N22" i="23"/>
  <c r="I112" i="2"/>
  <c r="J3" i="2"/>
  <c r="L3" i="2"/>
  <c r="J21" i="2"/>
  <c r="L21" i="2"/>
  <c r="J30" i="2"/>
  <c r="L30" i="2"/>
  <c r="J39" i="2"/>
  <c r="L39" i="2"/>
  <c r="J12" i="2"/>
  <c r="L12" i="2"/>
  <c r="J84" i="2"/>
  <c r="L84" i="2"/>
  <c r="J66" i="2"/>
  <c r="L66" i="2"/>
  <c r="J48" i="2"/>
  <c r="L48" i="2"/>
  <c r="J49" i="2"/>
  <c r="L49" i="2"/>
  <c r="J58" i="2"/>
  <c r="L58" i="2"/>
  <c r="J85" i="2"/>
  <c r="L85" i="2"/>
  <c r="J40" i="2"/>
  <c r="L40" i="2"/>
  <c r="L4" i="2"/>
  <c r="J22" i="2"/>
  <c r="L22" i="2"/>
  <c r="J31" i="2"/>
  <c r="L31" i="2"/>
  <c r="K102" i="2"/>
  <c r="L102" i="2"/>
  <c r="J93" i="2"/>
  <c r="L93" i="2"/>
  <c r="J75" i="2"/>
  <c r="L75" i="2"/>
  <c r="J57" i="2"/>
  <c r="L57" i="2"/>
  <c r="J67" i="2"/>
  <c r="L67" i="2"/>
  <c r="K76" i="2"/>
  <c r="L76" i="2"/>
  <c r="J94" i="2"/>
  <c r="L94" i="2"/>
  <c r="J102" i="2"/>
  <c r="F21" i="2"/>
  <c r="F3" i="2"/>
  <c r="E112" i="2"/>
  <c r="D113" i="2"/>
  <c r="E113" i="2" s="1"/>
  <c r="K85" i="2"/>
  <c r="K94" i="2"/>
  <c r="E31" i="2"/>
  <c r="F31" i="2" s="1"/>
  <c r="F67" i="2"/>
  <c r="D112" i="2"/>
  <c r="K4" i="2"/>
  <c r="K49" i="2"/>
  <c r="K58" i="2"/>
  <c r="K67" i="2"/>
  <c r="J76" i="2"/>
  <c r="F85" i="2"/>
  <c r="I13" i="2"/>
  <c r="D23" i="23" s="1"/>
  <c r="K22" i="2"/>
  <c r="L112" i="2"/>
  <c r="K57" i="2"/>
  <c r="K66" i="2"/>
  <c r="F40" i="2"/>
  <c r="K40" i="2"/>
  <c r="F93" i="2"/>
  <c r="K75" i="2"/>
  <c r="K3" i="2"/>
  <c r="K12" i="2"/>
  <c r="K21" i="2"/>
  <c r="K30" i="2"/>
  <c r="K39" i="2"/>
  <c r="K48" i="2"/>
  <c r="K93" i="2"/>
  <c r="K84" i="2"/>
  <c r="F84" i="2"/>
  <c r="F57" i="2"/>
  <c r="F12" i="2"/>
  <c r="M76" i="2" l="1"/>
  <c r="M102" i="2"/>
  <c r="M57" i="2"/>
  <c r="M93" i="2"/>
  <c r="M22" i="2"/>
  <c r="M4" i="2"/>
  <c r="M40" i="2"/>
  <c r="M85" i="2"/>
  <c r="M58" i="2"/>
  <c r="M48" i="2"/>
  <c r="M84" i="2"/>
  <c r="M39" i="2"/>
  <c r="M21" i="2"/>
  <c r="K13" i="2"/>
  <c r="L13" i="2"/>
  <c r="M94" i="2"/>
  <c r="M67" i="2"/>
  <c r="M75" i="2"/>
  <c r="M49" i="2"/>
  <c r="M66" i="2"/>
  <c r="M12" i="2"/>
  <c r="M30" i="2"/>
  <c r="M3" i="2"/>
  <c r="K31" i="2"/>
  <c r="M31" i="2" s="1"/>
  <c r="J13" i="2"/>
  <c r="I113" i="2"/>
  <c r="J112" i="2"/>
  <c r="F113" i="2"/>
  <c r="K112" i="2"/>
  <c r="M112" i="2" s="1"/>
  <c r="F112" i="2"/>
  <c r="J113" i="2" l="1"/>
  <c r="L113" i="2"/>
  <c r="M13" i="2"/>
  <c r="K113" i="2"/>
  <c r="M113" i="2" l="1"/>
</calcChain>
</file>

<file path=xl/comments1.xml><?xml version="1.0" encoding="utf-8"?>
<comments xmlns="http://schemas.openxmlformats.org/spreadsheetml/2006/main">
  <authors>
    <author>Jan Váňa</author>
  </authors>
  <commentList>
    <comment ref="B9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karanténa, zavřeno</t>
        </r>
      </text>
    </comment>
    <comment ref="B10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otevřeno od 18.1.22</t>
        </r>
      </text>
    </comment>
    <comment ref="G10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???????????</t>
        </r>
      </text>
    </comment>
    <comment ref="H10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vytápění předsálí a sálu
 v Konírně</t>
        </r>
      </text>
    </comment>
    <comment ref="B11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otevřeno od 16.1.</t>
        </r>
      </text>
    </comment>
    <comment ref="B18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zavřeno</t>
        </r>
      </text>
    </comment>
    <comment ref="B26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od půlky měsíce zavřeno</t>
        </r>
      </text>
    </comment>
    <comment ref="B27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zavřeno</t>
        </r>
      </text>
    </comment>
    <comment ref="B35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zavřeno</t>
        </r>
      </text>
    </comment>
    <comment ref="B36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zavřeno, ale nechladnější duben za 80 let</t>
        </r>
      </text>
    </comment>
    <comment ref="B44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půl měsíce zavřeno</t>
        </r>
      </text>
    </comment>
    <comment ref="B45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otevřeno a chladno</t>
        </r>
      </text>
    </comment>
    <comment ref="E80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muzeum větší část zavřeno kvůli čínské chřipce</t>
        </r>
      </text>
    </comment>
    <comment ref="B89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od půlky měsíce zavřeno</t>
        </r>
      </text>
    </comment>
    <comment ref="B98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zavřeno, čínská chřipka
vytápěny kanceláře, ostatní prostory jen temperovány</t>
        </r>
      </text>
    </comment>
    <comment ref="H100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vytápění sálu a předsálí v Konírně, taky přízemí pro dětské programy</t>
        </r>
      </text>
    </comment>
    <comment ref="B107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otevřeno jen týden</t>
        </r>
      </text>
    </comment>
    <comment ref="B117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spotřeba ovlivněna karanténami a také úspornými opatřeními</t>
        </r>
      </text>
    </comment>
    <comment ref="E117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silně ovlivněno karanténami</t>
        </r>
      </text>
    </comment>
    <comment ref="F117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dáno jednak zvýšeným podílem NT na celkové spotřebě a druhak snížením paušálu za hlavní jistič, který byl vyměněn v prosinci 2019</t>
        </r>
      </text>
    </comment>
    <comment ref="I117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silně ovlivněno karanténami</t>
        </r>
      </text>
    </comment>
    <comment ref="B118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spotřeba ovlivněna 
čínskou chřipkou a úspornými opatřeními</t>
        </r>
      </text>
    </comment>
    <comment ref="E118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ovlivněno karanténami</t>
        </r>
      </text>
    </comment>
    <comment ref="I118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ovlivněno karanténami</t>
        </r>
      </text>
    </comment>
    <comment ref="B119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téměř trojnásobný nárůst ceny silové</t>
        </r>
      </text>
    </comment>
    <comment ref="F119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ovlivněno vysokým nárůstem ceny silové elektřiny, taky prominutí POZE</t>
        </r>
      </text>
    </comment>
    <comment ref="F120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ovlivněno vysokou cenou silové a neplacením POZE</t>
        </r>
      </text>
    </comment>
  </commentList>
</comments>
</file>

<file path=xl/comments2.xml><?xml version="1.0" encoding="utf-8"?>
<comments xmlns="http://schemas.openxmlformats.org/spreadsheetml/2006/main">
  <authors>
    <author>Jan Váňa</author>
  </authors>
  <commentList>
    <comment ref="B8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ovlivněno čínskou chřipkou, ale i drobnými energetickými úsporami</t>
        </r>
      </text>
    </comment>
    <comment ref="B9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ovlivněno čínskou chřipkou, ale I drobnými úspornými opatřeními</t>
        </r>
      </text>
    </comment>
    <comment ref="B10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vliv drobných energetických opatření a teplého podzimu </t>
        </r>
      </text>
    </comment>
  </commentList>
</comments>
</file>

<file path=xl/comments3.xml><?xml version="1.0" encoding="utf-8"?>
<comments xmlns="http://schemas.openxmlformats.org/spreadsheetml/2006/main">
  <authors>
    <author>Jan Váňa</author>
  </authors>
  <commentList>
    <comment ref="D6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na elektroměru je před číslem písmeno P
NAD ELMĚREM JE POZNÁMKA - ÚDAJ NÁSOBIT 30x
asi to neudává spotřebu - patrně procento max. příkonu ????
</t>
        </r>
      </text>
    </comment>
    <comment ref="F6" authorId="0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zatím nevím jednotky, ale asi kWh</t>
        </r>
      </text>
    </comment>
  </commentList>
</comments>
</file>

<file path=xl/comments4.xml><?xml version="1.0" encoding="utf-8"?>
<comments xmlns="http://schemas.openxmlformats.org/spreadsheetml/2006/main">
  <authors>
    <author>Jan Váňa</author>
  </authors>
  <commentList>
    <comment ref="K5" authorId="0">
      <text>
        <r>
          <rPr>
            <b/>
            <sz val="9"/>
            <color indexed="81"/>
            <rFont val="Tahoma"/>
            <charset val="1"/>
          </rPr>
          <t>Jan Váňa:</t>
        </r>
        <r>
          <rPr>
            <sz val="9"/>
            <color indexed="81"/>
            <rFont val="Tahoma"/>
            <charset val="1"/>
          </rPr>
          <t xml:space="preserve">
 vládní strop na cenu silové</t>
        </r>
      </text>
    </comment>
    <comment ref="K6" authorId="0">
      <text>
        <r>
          <rPr>
            <b/>
            <sz val="9"/>
            <color indexed="81"/>
            <rFont val="Tahoma"/>
            <charset val="1"/>
          </rPr>
          <t>Jan Váňa:</t>
        </r>
        <r>
          <rPr>
            <sz val="9"/>
            <color indexed="81"/>
            <rFont val="Tahoma"/>
            <charset val="1"/>
          </rPr>
          <t xml:space="preserve">
 vládní strop na cenu silové</t>
        </r>
      </text>
    </comment>
  </commentList>
</comments>
</file>

<file path=xl/sharedStrings.xml><?xml version="1.0" encoding="utf-8"?>
<sst xmlns="http://schemas.openxmlformats.org/spreadsheetml/2006/main" count="369" uniqueCount="226">
  <si>
    <t>Ieden 15</t>
  </si>
  <si>
    <t>leden 16</t>
  </si>
  <si>
    <t>duben 15</t>
  </si>
  <si>
    <t>duben 16</t>
  </si>
  <si>
    <t>srpen 15</t>
  </si>
  <si>
    <t>srpen 16</t>
  </si>
  <si>
    <t>zari 15</t>
  </si>
  <si>
    <t>zari 16</t>
  </si>
  <si>
    <t>rijen 15</t>
  </si>
  <si>
    <t>rijen 16</t>
  </si>
  <si>
    <t>listopad 15</t>
  </si>
  <si>
    <t>listopad 16</t>
  </si>
  <si>
    <t>prosinec 15</t>
  </si>
  <si>
    <t>prosinec 16</t>
  </si>
  <si>
    <t>měsíc - rok</t>
  </si>
  <si>
    <t xml:space="preserve">Podíl poplatku za distr. </t>
  </si>
  <si>
    <t>Spotřeba celkem (MWh)</t>
  </si>
  <si>
    <t>Podíl NT na spotřebě silová</t>
  </si>
  <si>
    <t>Platba za silovou elektřinu 2015</t>
  </si>
  <si>
    <t>Platba celkem (vč. DPH) 2015</t>
  </si>
  <si>
    <t>Spotřeba VT (MWh) 2015</t>
  </si>
  <si>
    <t>Spotřeba NT (MWh) 2015</t>
  </si>
  <si>
    <t>Spotřeba celkem (MWh) 2015</t>
  </si>
  <si>
    <t>Platba za silovou elektřinu 2016</t>
  </si>
  <si>
    <t>Platba celkem (vč. DPH) 2016</t>
  </si>
  <si>
    <t>Spotřeba VT (MWh) 2016</t>
  </si>
  <si>
    <t>Spotřeba NT (MWh) 2016</t>
  </si>
  <si>
    <t>Spotřeba celkem (MWh) 2016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</si>
  <si>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</si>
  <si>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</si>
  <si>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</si>
  <si>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</si>
  <si>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</si>
  <si>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</si>
  <si>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</si>
  <si>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</si>
  <si>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</si>
  <si>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</si>
  <si>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</si>
  <si>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</si>
  <si>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leden 17</t>
  </si>
  <si>
    <t>duben 17</t>
  </si>
  <si>
    <t>srpen 17</t>
  </si>
  <si>
    <t>zari 17</t>
  </si>
  <si>
    <t>rijen 17</t>
  </si>
  <si>
    <t>listopad 17</t>
  </si>
  <si>
    <t>prosinec 17</t>
  </si>
  <si>
    <t xml:space="preserve"> Měsíční platby 2015</t>
  </si>
  <si>
    <t xml:space="preserve"> Měsíční platby 2016</t>
  </si>
  <si>
    <t xml:space="preserve"> Měsíční platby 2017</t>
  </si>
  <si>
    <t>leden 18</t>
  </si>
  <si>
    <t>březen 18</t>
  </si>
  <si>
    <t>duben 18</t>
  </si>
  <si>
    <t>květen 18</t>
  </si>
  <si>
    <t>červen 18</t>
  </si>
  <si>
    <t>červenec 18</t>
  </si>
  <si>
    <t>prosinec 18</t>
  </si>
  <si>
    <t>listopad 18</t>
  </si>
  <si>
    <t>říjen 18</t>
  </si>
  <si>
    <t>září 18</t>
  </si>
  <si>
    <t>srpen 18</t>
  </si>
  <si>
    <t>cena 2015</t>
  </si>
  <si>
    <t>cena 2016</t>
  </si>
  <si>
    <t>cena 2017</t>
  </si>
  <si>
    <t>cena 2018</t>
  </si>
  <si>
    <t>VT   Kč/MWh</t>
  </si>
  <si>
    <t>NT   Kč/MWh</t>
  </si>
  <si>
    <t>cena 2019</t>
  </si>
  <si>
    <t>leden 19</t>
  </si>
  <si>
    <t>únor 19</t>
  </si>
  <si>
    <t>březen 19</t>
  </si>
  <si>
    <t>duben 19</t>
  </si>
  <si>
    <t>květen 19</t>
  </si>
  <si>
    <t>červen 19</t>
  </si>
  <si>
    <t>červenec 19</t>
  </si>
  <si>
    <t>srpen 19</t>
  </si>
  <si>
    <t>září 19</t>
  </si>
  <si>
    <t>říjen 19</t>
  </si>
  <si>
    <t>listopad 19</t>
  </si>
  <si>
    <t>prosinec 19</t>
  </si>
  <si>
    <t xml:space="preserve"> Měsíční platby 2018</t>
  </si>
  <si>
    <t>Průměrná denní spotřeba (kWh)</t>
  </si>
  <si>
    <t xml:space="preserve"> Měsíční platby 2019</t>
  </si>
  <si>
    <t xml:space="preserve"> Měsíční spotřeby 2015</t>
  </si>
  <si>
    <t xml:space="preserve"> Měsíční spotřeby 2016</t>
  </si>
  <si>
    <t xml:space="preserve"> Měsíční spotřeby 2017</t>
  </si>
  <si>
    <t xml:space="preserve"> Měsíční spotřeby 2018</t>
  </si>
  <si>
    <t xml:space="preserve"> Měsíční spotřeby 2019</t>
  </si>
  <si>
    <t>Spotřeba VT   (MWh)</t>
  </si>
  <si>
    <t>Průměrná denní platba  (Kč)</t>
  </si>
  <si>
    <t>Platba za distribuci a další daně   (Kč)</t>
  </si>
  <si>
    <t>Platba celkem (Kč vč. DPH)</t>
  </si>
  <si>
    <r>
      <t>VT</t>
    </r>
    <r>
      <rPr>
        <sz val="11"/>
        <color theme="1"/>
        <rFont val="Calibri"/>
        <family val="2"/>
        <charset val="238"/>
        <scheme val="minor"/>
      </rPr>
      <t xml:space="preserve"> (Kč/MWh)</t>
    </r>
  </si>
  <si>
    <r>
      <t>NT</t>
    </r>
    <r>
      <rPr>
        <sz val="11"/>
        <color theme="1"/>
        <rFont val="Calibri"/>
        <family val="2"/>
        <charset val="238"/>
        <scheme val="minor"/>
      </rPr>
      <t xml:space="preserve"> (Kč/MWh)</t>
    </r>
  </si>
  <si>
    <r>
      <t xml:space="preserve">nasmlouvaná dodávka </t>
    </r>
    <r>
      <rPr>
        <sz val="11"/>
        <color theme="1"/>
        <rFont val="Calibri"/>
        <family val="2"/>
        <charset val="238"/>
        <scheme val="minor"/>
      </rPr>
      <t>(MWh)</t>
    </r>
  </si>
  <si>
    <t>Ʃ 2015</t>
  </si>
  <si>
    <t>Ʃ 2016</t>
  </si>
  <si>
    <t>Ʃ 2017</t>
  </si>
  <si>
    <t>Ʃ 2018</t>
  </si>
  <si>
    <t>Ʃ 2019</t>
  </si>
  <si>
    <t>Platba Kč za  1 kWh</t>
  </si>
  <si>
    <t>únor 15</t>
  </si>
  <si>
    <t>únor 16</t>
  </si>
  <si>
    <t>únor 17</t>
  </si>
  <si>
    <t>únor 18</t>
  </si>
  <si>
    <t>březen 15</t>
  </si>
  <si>
    <t>březen 16</t>
  </si>
  <si>
    <t>březen 17</t>
  </si>
  <si>
    <t>květen 15</t>
  </si>
  <si>
    <t>květen 16</t>
  </si>
  <si>
    <t>květen 17</t>
  </si>
  <si>
    <t>červen 15</t>
  </si>
  <si>
    <t>červen 16</t>
  </si>
  <si>
    <t>červen 17</t>
  </si>
  <si>
    <t>červenec 15</t>
  </si>
  <si>
    <t>červenec 16</t>
  </si>
  <si>
    <t>červenec 17</t>
  </si>
  <si>
    <t>cena 2020</t>
  </si>
  <si>
    <t>Platba za silovou elektřinu (Kč)</t>
  </si>
  <si>
    <t>VT</t>
  </si>
  <si>
    <t>NT</t>
  </si>
  <si>
    <t>rok</t>
  </si>
  <si>
    <t xml:space="preserve"> Měsíční platby 2020</t>
  </si>
  <si>
    <t xml:space="preserve"> Měsíční spotřeby 2020</t>
  </si>
  <si>
    <t>leden 20</t>
  </si>
  <si>
    <t>březen 20</t>
  </si>
  <si>
    <t>únor 20</t>
  </si>
  <si>
    <t>duben 20</t>
  </si>
  <si>
    <t>květen 20</t>
  </si>
  <si>
    <t>červen 20</t>
  </si>
  <si>
    <t>červenec 20</t>
  </si>
  <si>
    <t>srpen 20</t>
  </si>
  <si>
    <t>září 20</t>
  </si>
  <si>
    <t>říjen 20</t>
  </si>
  <si>
    <t>listopad 20</t>
  </si>
  <si>
    <t>prosinec 20</t>
  </si>
  <si>
    <t>Ʃ 2020</t>
  </si>
  <si>
    <t>oproti předchozímu roku</t>
  </si>
  <si>
    <t>oproti roku 2017</t>
  </si>
  <si>
    <t>Graf pro roky 2015 - 2019</t>
  </si>
  <si>
    <t>cena 2021</t>
  </si>
  <si>
    <t>Spotřeba NT    (MWh)</t>
  </si>
  <si>
    <t>leden 21</t>
  </si>
  <si>
    <t>únor 21</t>
  </si>
  <si>
    <t xml:space="preserve"> Měsíční platby 2021</t>
  </si>
  <si>
    <t xml:space="preserve"> Měsíční spotřeby 2021</t>
  </si>
  <si>
    <t>duben 21</t>
  </si>
  <si>
    <t>květen 21</t>
  </si>
  <si>
    <t>březen 21</t>
  </si>
  <si>
    <t>červen 21</t>
  </si>
  <si>
    <t>červenec 21</t>
  </si>
  <si>
    <t>srpen 21</t>
  </si>
  <si>
    <t>září 21</t>
  </si>
  <si>
    <t>říjen 21</t>
  </si>
  <si>
    <t>listopad 21</t>
  </si>
  <si>
    <t>prosinec 21</t>
  </si>
  <si>
    <t>Ʃ 2021</t>
  </si>
  <si>
    <t>cena 2022</t>
  </si>
  <si>
    <t>Měsíc, rok</t>
  </si>
  <si>
    <t>!!!!!!!!!!!</t>
  </si>
  <si>
    <t>Spotřeba NT          (MWh)</t>
  </si>
  <si>
    <t>leden 22</t>
  </si>
  <si>
    <t>únor 22</t>
  </si>
  <si>
    <t>Ʃ 2022</t>
  </si>
  <si>
    <t>březen 22</t>
  </si>
  <si>
    <t>duben 22</t>
  </si>
  <si>
    <t>květen 22</t>
  </si>
  <si>
    <t>červen 22</t>
  </si>
  <si>
    <t>červenec 22</t>
  </si>
  <si>
    <t>srpen 22</t>
  </si>
  <si>
    <t>září 22</t>
  </si>
  <si>
    <t>říjen 22</t>
  </si>
  <si>
    <t>listopad 22</t>
  </si>
  <si>
    <t>prosinec 22</t>
  </si>
  <si>
    <t>odhad 2022</t>
  </si>
  <si>
    <t>cena 2023</t>
  </si>
  <si>
    <t>leden 23</t>
  </si>
  <si>
    <t>únor 23</t>
  </si>
  <si>
    <t>březen 23</t>
  </si>
  <si>
    <t>květen 23</t>
  </si>
  <si>
    <t>červen 23</t>
  </si>
  <si>
    <t>červenec 23</t>
  </si>
  <si>
    <t>srpen 23</t>
  </si>
  <si>
    <t>září 23</t>
  </si>
  <si>
    <t>Ʃ 2023</t>
  </si>
  <si>
    <t>říjen 23</t>
  </si>
  <si>
    <t>prosinec 23</t>
  </si>
  <si>
    <t>listopad 23</t>
  </si>
  <si>
    <t>duben 23</t>
  </si>
  <si>
    <t xml:space="preserve"> Měsíční platby 2022</t>
  </si>
  <si>
    <t>Měsíční platby 2023</t>
  </si>
  <si>
    <t>Graf pro roky 2020 - 2023</t>
  </si>
  <si>
    <t xml:space="preserve"> Měsíční spotřeby 2022</t>
  </si>
  <si>
    <t>Měsíční spotřeby 2023</t>
  </si>
  <si>
    <t xml:space="preserve"> platíme spotové ceny, uvedená částka je </t>
  </si>
  <si>
    <t>zastropovaná cena silové</t>
  </si>
  <si>
    <t>růst ceny silové</t>
  </si>
  <si>
    <t>IČ</t>
    <phoneticPr fontId="4" type="noConversion"/>
  </si>
  <si>
    <t>Číslo odběrného místa</t>
    <phoneticPr fontId="4" type="noConversion"/>
  </si>
  <si>
    <t>Adresa odběrného místa</t>
    <phoneticPr fontId="4" type="noConversion"/>
  </si>
  <si>
    <t>EAN</t>
  </si>
  <si>
    <t>Distribuční sazba</t>
  </si>
  <si>
    <t>Počet fází</t>
  </si>
  <si>
    <t>Velikost jističe [A]</t>
    <phoneticPr fontId="4" type="noConversion"/>
  </si>
  <si>
    <t>Regionální muzeum v Jílovém u Prahy</t>
  </si>
  <si>
    <t>00067881</t>
  </si>
  <si>
    <t>0001266757</t>
  </si>
  <si>
    <t>Pohoří 532/Ch 532, 254 01 Pohoří Halíře, SOP 1</t>
  </si>
  <si>
    <t>859182400608195721</t>
  </si>
  <si>
    <t>C02d</t>
  </si>
  <si>
    <t>0001403020</t>
  </si>
  <si>
    <t>Studené 944185, 254 01 Jílové u Prahy</t>
  </si>
  <si>
    <t>859182400601529783</t>
  </si>
  <si>
    <t>Odběratel</t>
  </si>
  <si>
    <t>V rozvodně byla cca v polovině října instalována podružná měřidla, pro měření spotřeby elektrické energie v Konírně a v Domečku.</t>
  </si>
  <si>
    <t>Elektroměr</t>
  </si>
  <si>
    <t>Stav ke dni</t>
  </si>
  <si>
    <t>Domeček</t>
  </si>
  <si>
    <t>Konírna 1</t>
  </si>
  <si>
    <t>Konírna 2</t>
  </si>
  <si>
    <t>Elekzrikáři zatím nepodali žádné vysvětlení, co čísla na elektroměrech znamenají …</t>
  </si>
  <si>
    <t>-</t>
  </si>
  <si>
    <t>23.10.23, 10:30</t>
  </si>
  <si>
    <t>20.10.23, 12:25</t>
  </si>
  <si>
    <r>
      <t xml:space="preserve">0,30   </t>
    </r>
    <r>
      <rPr>
        <sz val="11"/>
        <color rgb="FFFF0000"/>
        <rFont val="Calibri"/>
        <family val="2"/>
        <charset val="238"/>
        <scheme val="minor"/>
      </rPr>
      <t>???</t>
    </r>
  </si>
  <si>
    <t>Spotřeba 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</si>
</sst>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70C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color rgb="FF6600FF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9900"/>
      <name val="Calibri"/>
      <family val="2"/>
      <charset val="238"/>
      <scheme val="minor"/>
    </font>
    <font>
      <b/>
      <sz val="9"/>
      <color theme="3" tint="0.39997558519241921"/>
      <name val="Arial"/>
      <family val="2"/>
      <charset val="238"/>
    </font>
    <font>
      <sz val="9"/>
      <color rgb="FF710564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9"/>
      <color rgb="FF00B050"/>
      <name val="Arial"/>
      <family val="2"/>
      <charset val="238"/>
    </font>
    <font>
      <sz val="11"/>
      <color rgb="FFFF5050"/>
      <name val="Calibri"/>
      <family val="2"/>
      <charset val="238"/>
      <scheme val="minor"/>
    </font>
    <font>
      <b/>
      <sz val="11"/>
      <color rgb="FF0099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</font>
    <font>
      <sz val="10"/>
      <name val="Arial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4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1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0" fontId="4" fillId="0" borderId="5" xfId="0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center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/>
    </xf>
    <xf numFmtId="49" fontId="4" fillId="5" borderId="14" xfId="0" applyNumberFormat="1" applyFont="1" applyFill="1" applyBorder="1" applyAlignment="1">
      <alignment horizontal="center"/>
    </xf>
    <xf numFmtId="49" fontId="4" fillId="5" borderId="14" xfId="0" applyNumberFormat="1" applyFont="1" applyFill="1" applyBorder="1" applyAlignment="1">
      <alignment horizontal="center" wrapText="1"/>
    </xf>
    <xf numFmtId="0" fontId="4" fillId="5" borderId="14" xfId="0" applyFont="1" applyFill="1" applyBorder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1" fontId="4" fillId="0" borderId="12" xfId="0" applyNumberFormat="1" applyFont="1" applyBorder="1" applyAlignment="1">
      <alignment horizontal="center"/>
    </xf>
    <xf numFmtId="1" fontId="4" fillId="0" borderId="18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0" fontId="4" fillId="2" borderId="9" xfId="0" applyFont="1" applyFill="1" applyBorder="1" applyAlignment="1">
      <alignment horizontal="left" vertical="center" wrapText="1"/>
    </xf>
    <xf numFmtId="2" fontId="4" fillId="0" borderId="6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4" fillId="5" borderId="1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 wrapText="1"/>
    </xf>
    <xf numFmtId="1" fontId="4" fillId="0" borderId="10" xfId="0" applyNumberFormat="1" applyFont="1" applyFill="1" applyBorder="1" applyAlignment="1">
      <alignment horizontal="center"/>
    </xf>
    <xf numFmtId="1" fontId="1" fillId="0" borderId="12" xfId="0" applyNumberFormat="1" applyFont="1" applyBorder="1" applyAlignment="1">
      <alignment horizontal="left"/>
    </xf>
    <xf numFmtId="1" fontId="1" fillId="0" borderId="3" xfId="0" applyNumberFormat="1" applyFont="1" applyBorder="1" applyAlignment="1">
      <alignment horizontal="left"/>
    </xf>
    <xf numFmtId="0" fontId="4" fillId="0" borderId="9" xfId="0" applyFont="1" applyBorder="1" applyAlignment="1">
      <alignment horizontal="left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left"/>
    </xf>
    <xf numFmtId="1" fontId="4" fillId="0" borderId="12" xfId="0" applyNumberFormat="1" applyFont="1" applyBorder="1" applyAlignment="1">
      <alignment horizontal="left"/>
    </xf>
    <xf numFmtId="1" fontId="4" fillId="4" borderId="12" xfId="0" applyNumberFormat="1" applyFont="1" applyFill="1" applyBorder="1" applyAlignment="1">
      <alignment horizontal="left"/>
    </xf>
    <xf numFmtId="9" fontId="4" fillId="0" borderId="12" xfId="0" applyNumberFormat="1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164" fontId="4" fillId="0" borderId="12" xfId="0" applyNumberFormat="1" applyFont="1" applyBorder="1" applyAlignment="1">
      <alignment horizontal="left"/>
    </xf>
    <xf numFmtId="2" fontId="4" fillId="3" borderId="12" xfId="0" applyNumberFormat="1" applyFont="1" applyFill="1" applyBorder="1" applyAlignment="1">
      <alignment horizontal="left"/>
    </xf>
    <xf numFmtId="49" fontId="4" fillId="0" borderId="9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left"/>
    </xf>
    <xf numFmtId="1" fontId="4" fillId="4" borderId="1" xfId="0" applyNumberFormat="1" applyFont="1" applyFill="1" applyBorder="1" applyAlignment="1">
      <alignment horizontal="left"/>
    </xf>
    <xf numFmtId="9" fontId="4" fillId="0" borderId="1" xfId="0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2" fontId="4" fillId="3" borderId="1" xfId="0" applyNumberFormat="1" applyFont="1" applyFill="1" applyBorder="1" applyAlignment="1">
      <alignment horizontal="left"/>
    </xf>
    <xf numFmtId="49" fontId="4" fillId="0" borderId="7" xfId="0" applyNumberFormat="1" applyFont="1" applyBorder="1" applyAlignment="1">
      <alignment horizontal="left"/>
    </xf>
    <xf numFmtId="1" fontId="4" fillId="0" borderId="3" xfId="0" applyNumberFormat="1" applyFont="1" applyBorder="1" applyAlignment="1">
      <alignment horizontal="left"/>
    </xf>
    <xf numFmtId="1" fontId="4" fillId="4" borderId="3" xfId="0" applyNumberFormat="1" applyFont="1" applyFill="1" applyBorder="1" applyAlignment="1">
      <alignment horizontal="left"/>
    </xf>
    <xf numFmtId="9" fontId="4" fillId="0" borderId="3" xfId="0" applyNumberFormat="1" applyFont="1" applyBorder="1" applyAlignment="1">
      <alignment horizontal="left"/>
    </xf>
    <xf numFmtId="0" fontId="4" fillId="0" borderId="3" xfId="0" applyFont="1" applyBorder="1" applyAlignment="1">
      <alignment horizontal="left"/>
    </xf>
    <xf numFmtId="2" fontId="4" fillId="3" borderId="3" xfId="0" applyNumberFormat="1" applyFont="1" applyFill="1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29" xfId="0" applyNumberFormat="1" applyFont="1" applyBorder="1" applyAlignment="1">
      <alignment horizontal="left"/>
    </xf>
    <xf numFmtId="2" fontId="4" fillId="0" borderId="28" xfId="0" applyNumberFormat="1" applyFont="1" applyBorder="1" applyAlignment="1">
      <alignment horizontal="left"/>
    </xf>
    <xf numFmtId="2" fontId="4" fillId="0" borderId="31" xfId="0" applyNumberFormat="1" applyFont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1" fontId="1" fillId="0" borderId="18" xfId="0" applyNumberFormat="1" applyFont="1" applyBorder="1" applyAlignment="1">
      <alignment horizontal="left"/>
    </xf>
    <xf numFmtId="1" fontId="4" fillId="0" borderId="10" xfId="0" applyNumberFormat="1" applyFont="1" applyBorder="1" applyAlignment="1">
      <alignment horizontal="left"/>
    </xf>
    <xf numFmtId="1" fontId="1" fillId="0" borderId="8" xfId="0" applyNumberFormat="1" applyFont="1" applyBorder="1" applyAlignment="1">
      <alignment horizontal="left"/>
    </xf>
    <xf numFmtId="1" fontId="4" fillId="0" borderId="1" xfId="0" applyNumberFormat="1" applyFont="1" applyFill="1" applyBorder="1" applyAlignment="1">
      <alignment horizontal="left"/>
    </xf>
    <xf numFmtId="1" fontId="4" fillId="0" borderId="10" xfId="0" applyNumberFormat="1" applyFont="1" applyFill="1" applyBorder="1" applyAlignment="1">
      <alignment horizontal="left"/>
    </xf>
    <xf numFmtId="1" fontId="8" fillId="0" borderId="33" xfId="0" applyNumberFormat="1" applyFont="1" applyBorder="1" applyAlignment="1">
      <alignment horizontal="center"/>
    </xf>
    <xf numFmtId="9" fontId="8" fillId="0" borderId="33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4" fontId="8" fillId="0" borderId="33" xfId="0" applyNumberFormat="1" applyFont="1" applyBorder="1" applyAlignment="1">
      <alignment horizontal="center"/>
    </xf>
    <xf numFmtId="2" fontId="8" fillId="0" borderId="34" xfId="0" applyNumberFormat="1" applyFont="1" applyBorder="1" applyAlignment="1">
      <alignment horizontal="center"/>
    </xf>
    <xf numFmtId="1" fontId="4" fillId="0" borderId="33" xfId="0" applyNumberFormat="1" applyFont="1" applyBorder="1" applyAlignment="1">
      <alignment horizontal="center"/>
    </xf>
    <xf numFmtId="1" fontId="4" fillId="0" borderId="35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6" borderId="23" xfId="0" applyFill="1" applyBorder="1"/>
    <xf numFmtId="0" fontId="6" fillId="6" borderId="14" xfId="0" applyFont="1" applyFill="1" applyBorder="1" applyAlignment="1">
      <alignment horizontal="center" vertical="center"/>
    </xf>
    <xf numFmtId="0" fontId="6" fillId="6" borderId="26" xfId="0" applyFont="1" applyFill="1" applyBorder="1" applyAlignment="1">
      <alignment horizontal="justify" vertical="center"/>
    </xf>
    <xf numFmtId="0" fontId="6" fillId="6" borderId="24" xfId="0" applyFont="1" applyFill="1" applyBorder="1" applyAlignment="1">
      <alignment horizontal="justify" vertical="center"/>
    </xf>
    <xf numFmtId="0" fontId="6" fillId="6" borderId="25" xfId="0" applyFont="1" applyFill="1" applyBorder="1"/>
    <xf numFmtId="9" fontId="5" fillId="0" borderId="12" xfId="0" applyNumberFormat="1" applyFont="1" applyFill="1" applyBorder="1" applyAlignment="1">
      <alignment horizontal="left"/>
    </xf>
    <xf numFmtId="2" fontId="5" fillId="0" borderId="29" xfId="0" applyNumberFormat="1" applyFont="1" applyFill="1" applyBorder="1" applyAlignment="1">
      <alignment horizontal="left"/>
    </xf>
    <xf numFmtId="1" fontId="5" fillId="0" borderId="12" xfId="0" applyNumberFormat="1" applyFont="1" applyBorder="1" applyAlignment="1">
      <alignment horizontal="left"/>
    </xf>
    <xf numFmtId="1" fontId="5" fillId="0" borderId="11" xfId="0" applyNumberFormat="1" applyFont="1" applyFill="1" applyBorder="1" applyAlignment="1">
      <alignment horizontal="left"/>
    </xf>
    <xf numFmtId="9" fontId="5" fillId="0" borderId="11" xfId="0" applyNumberFormat="1" applyFont="1" applyFill="1" applyBorder="1" applyAlignment="1">
      <alignment horizontal="left"/>
    </xf>
    <xf numFmtId="0" fontId="5" fillId="0" borderId="11" xfId="0" applyFont="1" applyFill="1" applyBorder="1" applyAlignment="1">
      <alignment horizontal="left"/>
    </xf>
    <xf numFmtId="2" fontId="5" fillId="0" borderId="32" xfId="0" applyNumberFormat="1" applyFont="1" applyFill="1" applyBorder="1" applyAlignment="1">
      <alignment horizontal="left"/>
    </xf>
    <xf numFmtId="1" fontId="5" fillId="0" borderId="1" xfId="0" applyNumberFormat="1" applyFont="1" applyFill="1" applyBorder="1" applyAlignment="1">
      <alignment horizontal="left"/>
    </xf>
    <xf numFmtId="9" fontId="5" fillId="0" borderId="1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2" fontId="5" fillId="0" borderId="28" xfId="0" applyNumberFormat="1" applyFont="1" applyFill="1" applyBorder="1" applyAlignment="1">
      <alignment horizontal="left"/>
    </xf>
    <xf numFmtId="0" fontId="2" fillId="3" borderId="22" xfId="0" applyFont="1" applyFill="1" applyBorder="1" applyAlignment="1">
      <alignment horizontal="center" vertical="center"/>
    </xf>
    <xf numFmtId="49" fontId="8" fillId="0" borderId="36" xfId="0" applyNumberFormat="1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11" fillId="6" borderId="27" xfId="0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3" fillId="0" borderId="0" xfId="0" applyFont="1"/>
    <xf numFmtId="1" fontId="7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2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0" xfId="0" applyFont="1" applyFill="1" applyAlignment="1">
      <alignment horizontal="center"/>
    </xf>
    <xf numFmtId="0" fontId="4" fillId="0" borderId="16" xfId="0" applyFont="1" applyFill="1" applyBorder="1" applyAlignment="1">
      <alignment horizontal="left" vertical="center" wrapText="1"/>
    </xf>
    <xf numFmtId="2" fontId="4" fillId="0" borderId="11" xfId="0" applyNumberFormat="1" applyFont="1" applyBorder="1" applyAlignment="1">
      <alignment horizontal="center"/>
    </xf>
    <xf numFmtId="2" fontId="4" fillId="0" borderId="17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6" xfId="0" applyNumberFormat="1" applyFont="1" applyBorder="1" applyAlignment="1">
      <alignment horizontal="left"/>
    </xf>
    <xf numFmtId="1" fontId="4" fillId="0" borderId="11" xfId="0" applyNumberFormat="1" applyFont="1" applyBorder="1" applyAlignment="1">
      <alignment horizontal="left"/>
    </xf>
    <xf numFmtId="1" fontId="4" fillId="4" borderId="11" xfId="0" applyNumberFormat="1" applyFont="1" applyFill="1" applyBorder="1" applyAlignment="1">
      <alignment horizontal="left"/>
    </xf>
    <xf numFmtId="9" fontId="4" fillId="0" borderId="11" xfId="0" applyNumberFormat="1" applyFont="1" applyBorder="1" applyAlignment="1">
      <alignment horizontal="left"/>
    </xf>
    <xf numFmtId="164" fontId="4" fillId="0" borderId="11" xfId="0" applyNumberFormat="1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2" fontId="4" fillId="3" borderId="11" xfId="0" applyNumberFormat="1" applyFont="1" applyFill="1" applyBorder="1" applyAlignment="1">
      <alignment horizontal="left"/>
    </xf>
    <xf numFmtId="2" fontId="4" fillId="0" borderId="32" xfId="0" applyNumberFormat="1" applyFont="1" applyBorder="1" applyAlignment="1">
      <alignment horizontal="left"/>
    </xf>
    <xf numFmtId="1" fontId="4" fillId="0" borderId="17" xfId="0" applyNumberFormat="1" applyFont="1" applyBorder="1" applyAlignment="1">
      <alignment horizontal="left"/>
    </xf>
    <xf numFmtId="49" fontId="7" fillId="0" borderId="19" xfId="0" applyNumberFormat="1" applyFont="1" applyBorder="1" applyAlignment="1">
      <alignment horizontal="center"/>
    </xf>
    <xf numFmtId="1" fontId="7" fillId="0" borderId="20" xfId="0" applyNumberFormat="1" applyFont="1" applyBorder="1" applyAlignment="1">
      <alignment horizontal="center"/>
    </xf>
    <xf numFmtId="1" fontId="7" fillId="4" borderId="20" xfId="0" applyNumberFormat="1" applyFont="1" applyFill="1" applyBorder="1" applyAlignment="1">
      <alignment horizontal="center"/>
    </xf>
    <xf numFmtId="9" fontId="7" fillId="0" borderId="20" xfId="0" applyNumberFormat="1" applyFont="1" applyBorder="1" applyAlignment="1">
      <alignment horizontal="center"/>
    </xf>
    <xf numFmtId="164" fontId="7" fillId="0" borderId="20" xfId="0" applyNumberFormat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2" fontId="7" fillId="3" borderId="20" xfId="0" applyNumberFormat="1" applyFont="1" applyFill="1" applyBorder="1" applyAlignment="1">
      <alignment horizontal="center"/>
    </xf>
    <xf numFmtId="2" fontId="7" fillId="0" borderId="30" xfId="0" applyNumberFormat="1" applyFont="1" applyBorder="1" applyAlignment="1">
      <alignment horizontal="center"/>
    </xf>
    <xf numFmtId="1" fontId="7" fillId="0" borderId="21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left"/>
    </xf>
    <xf numFmtId="1" fontId="8" fillId="0" borderId="33" xfId="0" applyNumberFormat="1" applyFont="1" applyFill="1" applyBorder="1" applyAlignment="1">
      <alignment horizontal="center"/>
    </xf>
    <xf numFmtId="2" fontId="8" fillId="0" borderId="33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left"/>
    </xf>
    <xf numFmtId="0" fontId="0" fillId="0" borderId="0" xfId="0" applyFill="1"/>
    <xf numFmtId="0" fontId="0" fillId="0" borderId="4" xfId="0" applyBorder="1" applyAlignment="1">
      <alignment horizontal="center"/>
    </xf>
    <xf numFmtId="1" fontId="0" fillId="0" borderId="12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49" fontId="4" fillId="0" borderId="16" xfId="0" applyNumberFormat="1" applyFont="1" applyFill="1" applyBorder="1" applyAlignment="1">
      <alignment horizontal="left"/>
    </xf>
    <xf numFmtId="10" fontId="15" fillId="0" borderId="0" xfId="0" applyNumberFormat="1" applyFont="1"/>
    <xf numFmtId="0" fontId="0" fillId="0" borderId="38" xfId="0" applyBorder="1"/>
    <xf numFmtId="165" fontId="0" fillId="0" borderId="1" xfId="0" applyNumberForma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49" fontId="5" fillId="0" borderId="4" xfId="0" applyNumberFormat="1" applyFont="1" applyFill="1" applyBorder="1" applyAlignment="1">
      <alignment horizontal="left"/>
    </xf>
    <xf numFmtId="49" fontId="5" fillId="0" borderId="16" xfId="0" applyNumberFormat="1" applyFont="1" applyFill="1" applyBorder="1" applyAlignment="1">
      <alignment horizontal="left"/>
    </xf>
    <xf numFmtId="49" fontId="5" fillId="0" borderId="9" xfId="0" applyNumberFormat="1" applyFont="1" applyFill="1" applyBorder="1" applyAlignment="1">
      <alignment horizontal="left"/>
    </xf>
    <xf numFmtId="1" fontId="4" fillId="0" borderId="11" xfId="0" applyNumberFormat="1" applyFont="1" applyFill="1" applyBorder="1" applyAlignment="1">
      <alignment horizontal="left"/>
    </xf>
    <xf numFmtId="9" fontId="4" fillId="0" borderId="11" xfId="0" applyNumberFormat="1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164" fontId="4" fillId="0" borderId="11" xfId="0" applyNumberFormat="1" applyFont="1" applyFill="1" applyBorder="1" applyAlignment="1">
      <alignment horizontal="left"/>
    </xf>
    <xf numFmtId="2" fontId="4" fillId="0" borderId="32" xfId="0" applyNumberFormat="1" applyFont="1" applyFill="1" applyBorder="1" applyAlignment="1">
      <alignment horizontal="left"/>
    </xf>
    <xf numFmtId="1" fontId="4" fillId="0" borderId="17" xfId="0" applyNumberFormat="1" applyFont="1" applyFill="1" applyBorder="1" applyAlignment="1">
      <alignment horizontal="left"/>
    </xf>
    <xf numFmtId="49" fontId="4" fillId="0" borderId="16" xfId="0" applyNumberFormat="1" applyFont="1" applyBorder="1" applyAlignment="1">
      <alignment horizontal="center"/>
    </xf>
    <xf numFmtId="0" fontId="2" fillId="8" borderId="22" xfId="0" applyFont="1" applyFill="1" applyBorder="1" applyAlignment="1">
      <alignment horizontal="center" vertical="center"/>
    </xf>
    <xf numFmtId="0" fontId="2" fillId="8" borderId="14" xfId="0" applyFont="1" applyFill="1" applyBorder="1" applyAlignment="1">
      <alignment horizontal="center" vertical="center" wrapText="1"/>
    </xf>
    <xf numFmtId="0" fontId="2" fillId="8" borderId="27" xfId="0" applyFont="1" applyFill="1" applyBorder="1" applyAlignment="1">
      <alignment horizontal="center" vertical="center" wrapText="1"/>
    </xf>
    <xf numFmtId="0" fontId="2" fillId="8" borderId="15" xfId="0" applyFont="1" applyFill="1" applyBorder="1" applyAlignment="1">
      <alignment horizontal="center" vertical="center" wrapText="1"/>
    </xf>
    <xf numFmtId="2" fontId="5" fillId="3" borderId="12" xfId="0" applyNumberFormat="1" applyFont="1" applyFill="1" applyBorder="1" applyAlignment="1">
      <alignment horizontal="left"/>
    </xf>
    <xf numFmtId="2" fontId="5" fillId="3" borderId="11" xfId="0" applyNumberFormat="1" applyFont="1" applyFill="1" applyBorder="1" applyAlignment="1">
      <alignment horizontal="left"/>
    </xf>
    <xf numFmtId="2" fontId="5" fillId="3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0" fillId="0" borderId="38" xfId="0" applyBorder="1" applyAlignment="1">
      <alignment horizontal="center"/>
    </xf>
    <xf numFmtId="9" fontId="14" fillId="0" borderId="0" xfId="0" applyNumberFormat="1" applyFont="1" applyAlignment="1">
      <alignment horizontal="center"/>
    </xf>
    <xf numFmtId="9" fontId="14" fillId="0" borderId="38" xfId="0" applyNumberFormat="1" applyFont="1" applyBorder="1" applyAlignment="1">
      <alignment horizontal="center"/>
    </xf>
    <xf numFmtId="0" fontId="17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165" fontId="12" fillId="0" borderId="10" xfId="0" applyNumberFormat="1" applyFont="1" applyFill="1" applyBorder="1" applyAlignment="1">
      <alignment horizontal="center"/>
    </xf>
    <xf numFmtId="165" fontId="20" fillId="0" borderId="10" xfId="0" applyNumberFormat="1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2" fontId="16" fillId="0" borderId="0" xfId="0" applyNumberFormat="1" applyFont="1" applyAlignment="1">
      <alignment horizontal="center"/>
    </xf>
    <xf numFmtId="0" fontId="7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4" fillId="0" borderId="7" xfId="0" applyFont="1" applyFill="1" applyBorder="1" applyAlignment="1">
      <alignment horizontal="left" vertical="center" wrapText="1"/>
    </xf>
    <xf numFmtId="2" fontId="4" fillId="0" borderId="3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0" fontId="0" fillId="0" borderId="2" xfId="0" applyBorder="1"/>
    <xf numFmtId="0" fontId="0" fillId="0" borderId="6" xfId="0" applyBorder="1"/>
    <xf numFmtId="0" fontId="21" fillId="0" borderId="0" xfId="0" applyFont="1" applyAlignment="1">
      <alignment horizontal="center"/>
    </xf>
    <xf numFmtId="165" fontId="14" fillId="0" borderId="1" xfId="0" applyNumberFormat="1" applyFont="1" applyBorder="1" applyAlignment="1">
      <alignment horizontal="center"/>
    </xf>
    <xf numFmtId="165" fontId="22" fillId="0" borderId="1" xfId="0" applyNumberFormat="1" applyFont="1" applyBorder="1" applyAlignment="1">
      <alignment horizontal="center"/>
    </xf>
    <xf numFmtId="0" fontId="11" fillId="6" borderId="1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39" xfId="0" applyFont="1" applyFill="1" applyBorder="1" applyAlignment="1">
      <alignment horizontal="left"/>
    </xf>
    <xf numFmtId="1" fontId="4" fillId="0" borderId="2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1" fontId="2" fillId="0" borderId="0" xfId="0" applyNumberFormat="1" applyFont="1" applyAlignment="1">
      <alignment horizontal="center"/>
    </xf>
    <xf numFmtId="164" fontId="4" fillId="0" borderId="3" xfId="0" applyNumberFormat="1" applyFont="1" applyBorder="1" applyAlignment="1">
      <alignment horizontal="left"/>
    </xf>
    <xf numFmtId="49" fontId="5" fillId="5" borderId="14" xfId="0" applyNumberFormat="1" applyFont="1" applyFill="1" applyBorder="1" applyAlignment="1">
      <alignment horizontal="center"/>
    </xf>
    <xf numFmtId="49" fontId="5" fillId="5" borderId="14" xfId="0" applyNumberFormat="1" applyFont="1" applyFill="1" applyBorder="1" applyAlignment="1">
      <alignment horizontal="center" wrapText="1"/>
    </xf>
    <xf numFmtId="0" fontId="5" fillId="5" borderId="15" xfId="0" applyFont="1" applyFill="1" applyBorder="1" applyAlignment="1">
      <alignment horizontal="center"/>
    </xf>
    <xf numFmtId="0" fontId="10" fillId="0" borderId="0" xfId="0" applyFont="1" applyFill="1" applyAlignment="1">
      <alignment horizontal="left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9" fontId="20" fillId="0" borderId="0" xfId="0" applyNumberFormat="1" applyFont="1" applyAlignment="1">
      <alignment horizontal="center"/>
    </xf>
    <xf numFmtId="9" fontId="20" fillId="0" borderId="38" xfId="0" applyNumberFormat="1" applyFont="1" applyBorder="1" applyAlignment="1">
      <alignment horizontal="center"/>
    </xf>
    <xf numFmtId="9" fontId="15" fillId="0" borderId="0" xfId="0" applyNumberFormat="1" applyFont="1" applyAlignment="1">
      <alignment horizontal="center"/>
    </xf>
    <xf numFmtId="9" fontId="15" fillId="0" borderId="38" xfId="0" applyNumberFormat="1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1" fillId="6" borderId="40" xfId="0" applyFont="1" applyFill="1" applyBorder="1" applyAlignment="1">
      <alignment horizontal="center" vertical="center"/>
    </xf>
    <xf numFmtId="3" fontId="14" fillId="0" borderId="41" xfId="0" applyNumberFormat="1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" xfId="0" applyBorder="1"/>
    <xf numFmtId="0" fontId="6" fillId="6" borderId="2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12" xfId="0" applyBorder="1" applyAlignment="1">
      <alignment horizontal="center"/>
    </xf>
    <xf numFmtId="3" fontId="14" fillId="0" borderId="43" xfId="0" applyNumberFormat="1" applyFont="1" applyBorder="1" applyAlignment="1">
      <alignment horizontal="center"/>
    </xf>
    <xf numFmtId="0" fontId="0" fillId="0" borderId="12" xfId="0" applyBorder="1"/>
    <xf numFmtId="0" fontId="0" fillId="0" borderId="18" xfId="0" applyBorder="1"/>
    <xf numFmtId="0" fontId="0" fillId="0" borderId="9" xfId="0" applyBorder="1" applyAlignment="1">
      <alignment horizontal="center" vertical="center"/>
    </xf>
    <xf numFmtId="0" fontId="0" fillId="0" borderId="10" xfId="0" applyBorder="1"/>
    <xf numFmtId="0" fontId="6" fillId="9" borderId="14" xfId="0" applyFont="1" applyFill="1" applyBorder="1" applyAlignment="1">
      <alignment horizontal="center"/>
    </xf>
    <xf numFmtId="0" fontId="6" fillId="9" borderId="15" xfId="0" applyFont="1" applyFill="1" applyBorder="1" applyAlignment="1">
      <alignment horizontal="center"/>
    </xf>
    <xf numFmtId="0" fontId="23" fillId="0" borderId="12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1" fontId="16" fillId="0" borderId="0" xfId="0" applyNumberFormat="1" applyFont="1" applyAlignment="1">
      <alignment horizontal="center"/>
    </xf>
    <xf numFmtId="1" fontId="7" fillId="0" borderId="0" xfId="0" applyNumberFormat="1" applyFont="1" applyFill="1" applyAlignment="1">
      <alignment horizontal="center"/>
    </xf>
    <xf numFmtId="165" fontId="24" fillId="0" borderId="11" xfId="0" applyNumberFormat="1" applyFont="1" applyFill="1" applyBorder="1" applyAlignment="1">
      <alignment horizontal="center"/>
    </xf>
    <xf numFmtId="165" fontId="25" fillId="0" borderId="17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0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1" fontId="0" fillId="0" borderId="11" xfId="0" applyNumberFormat="1" applyFont="1" applyFill="1" applyBorder="1" applyAlignment="1">
      <alignment horizontal="center"/>
    </xf>
    <xf numFmtId="165" fontId="0" fillId="0" borderId="11" xfId="0" applyNumberFormat="1" applyFont="1" applyFill="1" applyBorder="1" applyAlignment="1">
      <alignment horizontal="center"/>
    </xf>
    <xf numFmtId="165" fontId="0" fillId="0" borderId="17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164" fontId="5" fillId="0" borderId="1" xfId="0" applyNumberFormat="1" applyFont="1" applyFill="1" applyBorder="1" applyAlignment="1">
      <alignment horizontal="left"/>
    </xf>
    <xf numFmtId="1" fontId="9" fillId="0" borderId="0" xfId="0" applyNumberFormat="1" applyFont="1" applyFill="1" applyAlignment="1">
      <alignment horizontal="center"/>
    </xf>
    <xf numFmtId="3" fontId="10" fillId="0" borderId="0" xfId="0" applyNumberFormat="1" applyFont="1" applyFill="1" applyAlignment="1">
      <alignment horizontal="center"/>
    </xf>
    <xf numFmtId="1" fontId="7" fillId="7" borderId="1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center"/>
    </xf>
    <xf numFmtId="0" fontId="7" fillId="7" borderId="9" xfId="0" applyFont="1" applyFill="1" applyBorder="1" applyAlignment="1">
      <alignment horizontal="center"/>
    </xf>
    <xf numFmtId="0" fontId="10" fillId="7" borderId="22" xfId="0" applyFont="1" applyFill="1" applyBorder="1" applyAlignment="1">
      <alignment horizontal="center"/>
    </xf>
    <xf numFmtId="0" fontId="9" fillId="0" borderId="0" xfId="0" applyFont="1"/>
    <xf numFmtId="2" fontId="10" fillId="7" borderId="14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9" fontId="10" fillId="7" borderId="14" xfId="0" applyNumberFormat="1" applyFont="1" applyFill="1" applyBorder="1" applyAlignment="1">
      <alignment horizontal="center"/>
    </xf>
    <xf numFmtId="164" fontId="10" fillId="7" borderId="14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left"/>
    </xf>
    <xf numFmtId="3" fontId="5" fillId="4" borderId="12" xfId="0" applyNumberFormat="1" applyFont="1" applyFill="1" applyBorder="1" applyAlignment="1">
      <alignment horizontal="left"/>
    </xf>
    <xf numFmtId="3" fontId="5" fillId="0" borderId="11" xfId="0" applyNumberFormat="1" applyFont="1" applyFill="1" applyBorder="1" applyAlignment="1">
      <alignment horizontal="left"/>
    </xf>
    <xf numFmtId="3" fontId="5" fillId="4" borderId="11" xfId="0" applyNumberFormat="1" applyFont="1" applyFill="1" applyBorder="1" applyAlignment="1">
      <alignment horizontal="left"/>
    </xf>
    <xf numFmtId="3" fontId="5" fillId="0" borderId="1" xfId="0" applyNumberFormat="1" applyFont="1" applyFill="1" applyBorder="1" applyAlignment="1">
      <alignment horizontal="left"/>
    </xf>
    <xf numFmtId="3" fontId="5" fillId="4" borderId="1" xfId="0" applyNumberFormat="1" applyFont="1" applyFill="1" applyBorder="1" applyAlignment="1">
      <alignment horizontal="left"/>
    </xf>
    <xf numFmtId="3" fontId="10" fillId="7" borderId="14" xfId="0" applyNumberFormat="1" applyFont="1" applyFill="1" applyBorder="1" applyAlignment="1">
      <alignment horizontal="center"/>
    </xf>
    <xf numFmtId="3" fontId="5" fillId="0" borderId="18" xfId="0" applyNumberFormat="1" applyFont="1" applyBorder="1" applyAlignment="1">
      <alignment horizontal="left"/>
    </xf>
    <xf numFmtId="3" fontId="5" fillId="0" borderId="17" xfId="0" applyNumberFormat="1" applyFont="1" applyFill="1" applyBorder="1" applyAlignment="1">
      <alignment horizontal="left"/>
    </xf>
    <xf numFmtId="3" fontId="5" fillId="0" borderId="10" xfId="0" applyNumberFormat="1" applyFont="1" applyFill="1" applyBorder="1" applyAlignment="1">
      <alignment horizontal="left"/>
    </xf>
    <xf numFmtId="3" fontId="10" fillId="7" borderId="15" xfId="0" applyNumberFormat="1" applyFont="1" applyFill="1" applyBorder="1" applyAlignment="1">
      <alignment horizontal="center"/>
    </xf>
    <xf numFmtId="0" fontId="26" fillId="0" borderId="0" xfId="0" applyFont="1" applyAlignment="1">
      <alignment horizontal="center"/>
    </xf>
    <xf numFmtId="2" fontId="4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3" fillId="0" borderId="0" xfId="0" applyFont="1" applyFill="1" applyAlignment="1">
      <alignment horizontal="left"/>
    </xf>
    <xf numFmtId="0" fontId="14" fillId="0" borderId="0" xfId="0" applyFont="1"/>
    <xf numFmtId="10" fontId="7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0" fontId="1" fillId="0" borderId="0" xfId="0" applyFont="1" applyFill="1" applyAlignment="1">
      <alignment horizontal="left"/>
    </xf>
    <xf numFmtId="3" fontId="7" fillId="0" borderId="0" xfId="0" applyNumberFormat="1" applyFont="1" applyFill="1" applyAlignment="1">
      <alignment horizontal="center"/>
    </xf>
    <xf numFmtId="49" fontId="7" fillId="0" borderId="44" xfId="0" applyNumberFormat="1" applyFont="1" applyBorder="1" applyAlignment="1">
      <alignment horizontal="center"/>
    </xf>
    <xf numFmtId="1" fontId="7" fillId="0" borderId="45" xfId="0" applyNumberFormat="1" applyFont="1" applyBorder="1" applyAlignment="1">
      <alignment horizontal="center"/>
    </xf>
    <xf numFmtId="1" fontId="7" fillId="4" borderId="45" xfId="0" applyNumberFormat="1" applyFont="1" applyFill="1" applyBorder="1" applyAlignment="1">
      <alignment horizontal="center"/>
    </xf>
    <xf numFmtId="9" fontId="7" fillId="0" borderId="45" xfId="0" applyNumberFormat="1" applyFont="1" applyBorder="1" applyAlignment="1">
      <alignment horizontal="center"/>
    </xf>
    <xf numFmtId="164" fontId="7" fillId="0" borderId="45" xfId="0" applyNumberFormat="1" applyFont="1" applyFill="1" applyBorder="1" applyAlignment="1">
      <alignment horizontal="center"/>
    </xf>
    <xf numFmtId="164" fontId="7" fillId="0" borderId="45" xfId="0" applyNumberFormat="1" applyFont="1" applyBorder="1" applyAlignment="1">
      <alignment horizontal="center"/>
    </xf>
    <xf numFmtId="2" fontId="7" fillId="3" borderId="45" xfId="0" applyNumberFormat="1" applyFont="1" applyFill="1" applyBorder="1" applyAlignment="1">
      <alignment horizontal="center"/>
    </xf>
    <xf numFmtId="2" fontId="7" fillId="0" borderId="46" xfId="0" applyNumberFormat="1" applyFont="1" applyBorder="1" applyAlignment="1">
      <alignment horizontal="center"/>
    </xf>
    <xf numFmtId="1" fontId="7" fillId="0" borderId="47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1" fontId="1" fillId="4" borderId="1" xfId="0" applyNumberFormat="1" applyFont="1" applyFill="1" applyBorder="1" applyAlignment="1">
      <alignment horizontal="left"/>
    </xf>
    <xf numFmtId="9" fontId="1" fillId="0" borderId="1" xfId="0" applyNumberFormat="1" applyFont="1" applyBorder="1" applyAlignment="1">
      <alignment horizontal="left"/>
    </xf>
    <xf numFmtId="164" fontId="1" fillId="0" borderId="1" xfId="0" applyNumberFormat="1" applyFont="1" applyFill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2" fontId="1" fillId="3" borderId="1" xfId="0" applyNumberFormat="1" applyFont="1" applyFill="1" applyBorder="1" applyAlignment="1">
      <alignment horizontal="left"/>
    </xf>
    <xf numFmtId="2" fontId="1" fillId="0" borderId="28" xfId="0" applyNumberFormat="1" applyFont="1" applyBorder="1" applyAlignment="1">
      <alignment horizontal="left"/>
    </xf>
    <xf numFmtId="1" fontId="1" fillId="0" borderId="10" xfId="0" applyNumberFormat="1" applyFont="1" applyBorder="1" applyAlignment="1">
      <alignment horizontal="left"/>
    </xf>
    <xf numFmtId="0" fontId="10" fillId="2" borderId="0" xfId="0" applyFont="1" applyFill="1" applyAlignment="1">
      <alignment horizontal="left"/>
    </xf>
    <xf numFmtId="0" fontId="7" fillId="0" borderId="45" xfId="0" applyFont="1" applyBorder="1" applyAlignment="1">
      <alignment horizontal="center"/>
    </xf>
    <xf numFmtId="2" fontId="4" fillId="0" borderId="0" xfId="0" applyNumberFormat="1" applyFont="1" applyFill="1" applyAlignment="1">
      <alignment horizontal="left"/>
    </xf>
    <xf numFmtId="0" fontId="1" fillId="0" borderId="0" xfId="0" applyFont="1" applyFill="1"/>
    <xf numFmtId="49" fontId="5" fillId="0" borderId="48" xfId="0" applyNumberFormat="1" applyFont="1" applyFill="1" applyBorder="1" applyAlignment="1">
      <alignment horizontal="left"/>
    </xf>
    <xf numFmtId="3" fontId="5" fillId="0" borderId="49" xfId="0" applyNumberFormat="1" applyFont="1" applyFill="1" applyBorder="1" applyAlignment="1">
      <alignment horizontal="left"/>
    </xf>
    <xf numFmtId="9" fontId="5" fillId="0" borderId="49" xfId="0" applyNumberFormat="1" applyFont="1" applyFill="1" applyBorder="1" applyAlignment="1">
      <alignment horizontal="left"/>
    </xf>
    <xf numFmtId="0" fontId="5" fillId="0" borderId="49" xfId="0" applyFont="1" applyFill="1" applyBorder="1" applyAlignment="1">
      <alignment horizontal="left"/>
    </xf>
    <xf numFmtId="164" fontId="5" fillId="0" borderId="49" xfId="0" applyNumberFormat="1" applyFont="1" applyFill="1" applyBorder="1" applyAlignment="1">
      <alignment horizontal="left"/>
    </xf>
    <xf numFmtId="2" fontId="5" fillId="0" borderId="49" xfId="0" applyNumberFormat="1" applyFont="1" applyFill="1" applyBorder="1" applyAlignment="1">
      <alignment horizontal="left"/>
    </xf>
    <xf numFmtId="1" fontId="5" fillId="0" borderId="49" xfId="0" applyNumberFormat="1" applyFont="1" applyFill="1" applyBorder="1" applyAlignment="1">
      <alignment horizontal="left"/>
    </xf>
    <xf numFmtId="3" fontId="5" fillId="0" borderId="50" xfId="0" applyNumberFormat="1" applyFont="1" applyFill="1" applyBorder="1" applyAlignment="1">
      <alignment horizontal="left"/>
    </xf>
    <xf numFmtId="3" fontId="5" fillId="4" borderId="3" xfId="0" applyNumberFormat="1" applyFont="1" applyFill="1" applyBorder="1" applyAlignment="1">
      <alignment horizontal="left"/>
    </xf>
    <xf numFmtId="2" fontId="5" fillId="3" borderId="3" xfId="0" applyNumberFormat="1" applyFont="1" applyFill="1" applyBorder="1" applyAlignment="1">
      <alignment horizontal="left"/>
    </xf>
    <xf numFmtId="49" fontId="4" fillId="0" borderId="9" xfId="0" applyNumberFormat="1" applyFont="1" applyFill="1" applyBorder="1" applyAlignment="1">
      <alignment horizontal="left"/>
    </xf>
    <xf numFmtId="9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2" fontId="4" fillId="0" borderId="28" xfId="0" applyNumberFormat="1" applyFont="1" applyFill="1" applyBorder="1" applyAlignment="1">
      <alignment horizontal="left"/>
    </xf>
    <xf numFmtId="17" fontId="7" fillId="0" borderId="0" xfId="0" applyNumberFormat="1" applyFont="1" applyBorder="1" applyAlignment="1">
      <alignment horizontal="center"/>
    </xf>
    <xf numFmtId="2" fontId="7" fillId="3" borderId="11" xfId="0" applyNumberFormat="1" applyFont="1" applyFill="1" applyBorder="1" applyAlignment="1">
      <alignment horizontal="left"/>
    </xf>
    <xf numFmtId="0" fontId="7" fillId="7" borderId="48" xfId="0" applyFont="1" applyFill="1" applyBorder="1" applyAlignment="1">
      <alignment horizontal="center"/>
    </xf>
    <xf numFmtId="1" fontId="7" fillId="7" borderId="49" xfId="0" applyNumberFormat="1" applyFont="1" applyFill="1" applyBorder="1" applyAlignment="1">
      <alignment horizontal="center"/>
    </xf>
    <xf numFmtId="1" fontId="7" fillId="7" borderId="50" xfId="0" applyNumberFormat="1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9" fontId="20" fillId="2" borderId="0" xfId="0" applyNumberFormat="1" applyFont="1" applyFill="1" applyAlignment="1">
      <alignment horizontal="center"/>
    </xf>
    <xf numFmtId="9" fontId="20" fillId="2" borderId="38" xfId="0" applyNumberFormat="1" applyFont="1" applyFill="1" applyBorder="1" applyAlignment="1">
      <alignment horizontal="center"/>
    </xf>
    <xf numFmtId="9" fontId="20" fillId="0" borderId="0" xfId="0" applyNumberFormat="1" applyFont="1" applyFill="1" applyAlignment="1">
      <alignment horizontal="center"/>
    </xf>
    <xf numFmtId="9" fontId="20" fillId="0" borderId="38" xfId="0" applyNumberFormat="1" applyFont="1" applyFill="1" applyBorder="1" applyAlignment="1">
      <alignment horizontal="center"/>
    </xf>
    <xf numFmtId="1" fontId="0" fillId="7" borderId="9" xfId="0" applyNumberFormat="1" applyFill="1" applyBorder="1" applyAlignment="1">
      <alignment horizontal="center"/>
    </xf>
    <xf numFmtId="1" fontId="6" fillId="7" borderId="1" xfId="0" applyNumberFormat="1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2" fontId="6" fillId="7" borderId="10" xfId="0" applyNumberFormat="1" applyFont="1" applyFill="1" applyBorder="1" applyAlignment="1">
      <alignment horizontal="center"/>
    </xf>
    <xf numFmtId="1" fontId="1" fillId="4" borderId="11" xfId="0" applyNumberFormat="1" applyFont="1" applyFill="1" applyBorder="1" applyAlignment="1">
      <alignment horizontal="left"/>
    </xf>
    <xf numFmtId="9" fontId="4" fillId="0" borderId="45" xfId="0" applyNumberFormat="1" applyFont="1" applyBorder="1" applyAlignment="1">
      <alignment horizontal="center"/>
    </xf>
    <xf numFmtId="9" fontId="5" fillId="0" borderId="0" xfId="0" applyNumberFormat="1" applyFont="1" applyFill="1" applyBorder="1" applyAlignment="1">
      <alignment horizontal="left"/>
    </xf>
    <xf numFmtId="9" fontId="4" fillId="0" borderId="0" xfId="0" applyNumberFormat="1" applyFont="1" applyBorder="1" applyAlignment="1">
      <alignment horizontal="left"/>
    </xf>
    <xf numFmtId="49" fontId="29" fillId="0" borderId="1" xfId="0" applyNumberFormat="1" applyFont="1" applyFill="1" applyBorder="1" applyAlignment="1">
      <alignment horizontal="left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1" fontId="29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/>
    </xf>
    <xf numFmtId="0" fontId="29" fillId="0" borderId="1" xfId="0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vertical="center"/>
    </xf>
    <xf numFmtId="0" fontId="0" fillId="2" borderId="0" xfId="0" applyFill="1"/>
    <xf numFmtId="14" fontId="0" fillId="0" borderId="54" xfId="0" applyNumberFormat="1" applyFont="1" applyBorder="1" applyAlignment="1">
      <alignment horizontal="center"/>
    </xf>
    <xf numFmtId="0" fontId="0" fillId="0" borderId="24" xfId="0" applyFont="1" applyBorder="1"/>
    <xf numFmtId="0" fontId="0" fillId="0" borderId="25" xfId="0" applyFont="1" applyBorder="1"/>
    <xf numFmtId="0" fontId="0" fillId="0" borderId="5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2" xfId="0" applyFont="1" applyBorder="1"/>
    <xf numFmtId="0" fontId="0" fillId="0" borderId="53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5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0" fillId="0" borderId="24" xfId="0" applyFont="1" applyBorder="1" applyAlignment="1">
      <alignment horizontal="center"/>
    </xf>
    <xf numFmtId="0" fontId="6" fillId="9" borderId="54" xfId="0" applyFont="1" applyFill="1" applyBorder="1"/>
    <xf numFmtId="0" fontId="6" fillId="9" borderId="55" xfId="0" applyFont="1" applyFill="1" applyBorder="1" applyAlignment="1">
      <alignment horizontal="center" vertical="center"/>
    </xf>
    <xf numFmtId="0" fontId="6" fillId="9" borderId="12" xfId="0" applyFont="1" applyFill="1" applyBorder="1" applyAlignment="1">
      <alignment horizontal="center"/>
    </xf>
    <xf numFmtId="0" fontId="6" fillId="9" borderId="18" xfId="0" applyFont="1" applyFill="1" applyBorder="1" applyAlignment="1">
      <alignment horizontal="center"/>
    </xf>
    <xf numFmtId="0" fontId="6" fillId="9" borderId="25" xfId="0" applyFont="1" applyFill="1" applyBorder="1"/>
    <xf numFmtId="0" fontId="0" fillId="9" borderId="48" xfId="0" applyFill="1" applyBorder="1" applyAlignment="1">
      <alignment vertical="center"/>
    </xf>
    <xf numFmtId="0" fontId="6" fillId="9" borderId="2" xfId="0" applyFont="1" applyFill="1" applyBorder="1" applyAlignment="1">
      <alignment horizontal="center"/>
    </xf>
    <xf numFmtId="0" fontId="6" fillId="9" borderId="6" xfId="0" applyFont="1" applyFill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56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3" xfId="0" applyFont="1" applyBorder="1"/>
    <xf numFmtId="0" fontId="0" fillId="0" borderId="8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57" xfId="0" applyFont="1" applyBorder="1" applyAlignment="1">
      <alignment horizontal="center"/>
    </xf>
    <xf numFmtId="0" fontId="0" fillId="0" borderId="58" xfId="0" applyFont="1" applyBorder="1" applyAlignment="1">
      <alignment horizontal="center"/>
    </xf>
    <xf numFmtId="0" fontId="0" fillId="0" borderId="49" xfId="0" applyFont="1" applyBorder="1" applyAlignment="1">
      <alignment horizontal="center"/>
    </xf>
    <xf numFmtId="0" fontId="0" fillId="0" borderId="49" xfId="0" applyFont="1" applyBorder="1"/>
    <xf numFmtId="0" fontId="0" fillId="0" borderId="50" xfId="0" applyFont="1" applyBorder="1" applyAlignment="1">
      <alignment horizontal="center"/>
    </xf>
    <xf numFmtId="0" fontId="0" fillId="0" borderId="1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9900"/>
      <color rgb="FFFF5050"/>
      <color rgb="FFFFFF99"/>
      <color rgb="FFCCFFFF"/>
      <color rgb="FF6600FF"/>
      <color rgb="FF007A37"/>
      <color rgb="FF66FFFF"/>
      <color rgb="FF710564"/>
      <color rgb="FF99FFCC"/>
      <color rgb="FF732E0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13649492745423E-2"/>
          <c:y val="2.7756310140280002E-2"/>
          <c:w val="0.83596276531811853"/>
          <c:h val="0.78937688558145058"/>
        </c:manualLayout>
      </c:layout>
      <c:lineChart>
        <c:grouping val="standard"/>
        <c:varyColors val="0"/>
        <c:ser>
          <c:idx val="3"/>
          <c:order val="1"/>
          <c:tx>
            <c:v>Měsíční platby 2020</c:v>
          </c:tx>
          <c:spPr>
            <a:ln w="15875">
              <a:solidFill>
                <a:schemeClr val="accent4">
                  <a:lumMod val="75000"/>
                </a:schemeClr>
              </a:solidFill>
              <a:prstDash val="lgDash"/>
            </a:ln>
          </c:spPr>
          <c:marker>
            <c:symbol val="none"/>
          </c:marker>
          <c:val>
            <c:numRef>
              <c:f>'chod spotreby 2020-2023'!$C$16:$N$16</c:f>
              <c:numCache>
                <c:formatCode>0</c:formatCode>
                <c:ptCount val="12"/>
                <c:pt idx="0">
                  <c:v>87415.39</c:v>
                </c:pt>
                <c:pt idx="1">
                  <c:v>84307</c:v>
                </c:pt>
                <c:pt idx="2">
                  <c:v>66029</c:v>
                </c:pt>
                <c:pt idx="3">
                  <c:v>30238</c:v>
                </c:pt>
                <c:pt idx="4">
                  <c:v>27165</c:v>
                </c:pt>
                <c:pt idx="5">
                  <c:v>15471</c:v>
                </c:pt>
                <c:pt idx="6">
                  <c:v>11905</c:v>
                </c:pt>
                <c:pt idx="7">
                  <c:v>11848</c:v>
                </c:pt>
                <c:pt idx="8">
                  <c:v>13031</c:v>
                </c:pt>
                <c:pt idx="9">
                  <c:v>40511</c:v>
                </c:pt>
                <c:pt idx="10">
                  <c:v>58568</c:v>
                </c:pt>
                <c:pt idx="11">
                  <c:v>78100</c:v>
                </c:pt>
              </c:numCache>
            </c:numRef>
          </c:val>
          <c:smooth val="0"/>
        </c:ser>
        <c:ser>
          <c:idx val="4"/>
          <c:order val="3"/>
          <c:tx>
            <c:v>Měsíční platby 2021</c:v>
          </c:tx>
          <c:spPr>
            <a:ln>
              <a:solidFill>
                <a:schemeClr val="accent4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'chod spotreby 2020-2023'!$C$17:$N$17</c:f>
              <c:numCache>
                <c:formatCode>0</c:formatCode>
                <c:ptCount val="12"/>
                <c:pt idx="0">
                  <c:v>75175</c:v>
                </c:pt>
                <c:pt idx="1">
                  <c:v>71668</c:v>
                </c:pt>
                <c:pt idx="2">
                  <c:v>55757</c:v>
                </c:pt>
                <c:pt idx="3">
                  <c:v>38186</c:v>
                </c:pt>
                <c:pt idx="4">
                  <c:v>27967</c:v>
                </c:pt>
                <c:pt idx="5">
                  <c:v>13700</c:v>
                </c:pt>
                <c:pt idx="6">
                  <c:v>11922</c:v>
                </c:pt>
                <c:pt idx="7">
                  <c:v>12549</c:v>
                </c:pt>
                <c:pt idx="8">
                  <c:v>15289</c:v>
                </c:pt>
                <c:pt idx="9">
                  <c:v>49325</c:v>
                </c:pt>
                <c:pt idx="10">
                  <c:v>62985</c:v>
                </c:pt>
                <c:pt idx="11">
                  <c:v>67904</c:v>
                </c:pt>
              </c:numCache>
            </c:numRef>
          </c:val>
          <c:smooth val="0"/>
        </c:ser>
        <c:ser>
          <c:idx val="5"/>
          <c:order val="5"/>
          <c:tx>
            <c:v>měsíční platby 2022</c:v>
          </c:tx>
          <c:spPr>
            <a:ln w="19050">
              <a:solidFill>
                <a:schemeClr val="accent6">
                  <a:lumMod val="75000"/>
                </a:schemeClr>
              </a:solidFill>
              <a:prstDash val="lgDash"/>
            </a:ln>
          </c:spPr>
          <c:marker>
            <c:symbol val="none"/>
          </c:marker>
          <c:val>
            <c:numRef>
              <c:f>'chod spotreby 2020-2023'!$C$18:$N$18</c:f>
              <c:numCache>
                <c:formatCode>0</c:formatCode>
                <c:ptCount val="12"/>
                <c:pt idx="0">
                  <c:v>144694.29999999999</c:v>
                </c:pt>
                <c:pt idx="1">
                  <c:v>132100.38</c:v>
                </c:pt>
                <c:pt idx="2">
                  <c:v>138081.65</c:v>
                </c:pt>
                <c:pt idx="3">
                  <c:v>97767.25</c:v>
                </c:pt>
                <c:pt idx="4">
                  <c:v>27420.97</c:v>
                </c:pt>
                <c:pt idx="5">
                  <c:v>17096.36</c:v>
                </c:pt>
                <c:pt idx="6">
                  <c:v>16525.330000000002</c:v>
                </c:pt>
                <c:pt idx="7">
                  <c:v>17033.939999999999</c:v>
                </c:pt>
                <c:pt idx="8">
                  <c:v>23699.34</c:v>
                </c:pt>
                <c:pt idx="9">
                  <c:v>56218.8</c:v>
                </c:pt>
                <c:pt idx="10">
                  <c:v>89381.09</c:v>
                </c:pt>
                <c:pt idx="11">
                  <c:v>120576.74</c:v>
                </c:pt>
              </c:numCache>
            </c:numRef>
          </c:val>
          <c:smooth val="0"/>
        </c:ser>
        <c:ser>
          <c:idx val="7"/>
          <c:order val="6"/>
          <c:tx>
            <c:v>Měsíční platby 2023</c:v>
          </c:tx>
          <c:spPr>
            <a:ln w="34925">
              <a:solidFill>
                <a:srgbClr val="FF0000"/>
              </a:solidFill>
              <a:prstDash val="dash"/>
            </a:ln>
          </c:spPr>
          <c:marker>
            <c:symbol val="none"/>
          </c:marker>
          <c:dPt>
            <c:idx val="1"/>
            <c:bubble3D val="0"/>
          </c:dPt>
          <c:cat>
            <c:numRef>
              <c:f>'chod spotreby 2020-2023'!$C$19:$N$19</c:f>
              <c:numCache>
                <c:formatCode>0</c:formatCode>
                <c:ptCount val="12"/>
                <c:pt idx="0">
                  <c:v>142145.04999999999</c:v>
                </c:pt>
                <c:pt idx="1">
                  <c:v>143422.95000000001</c:v>
                </c:pt>
                <c:pt idx="2">
                  <c:v>110898.4</c:v>
                </c:pt>
                <c:pt idx="3">
                  <c:v>85719.32</c:v>
                </c:pt>
                <c:pt idx="4">
                  <c:v>30553.3</c:v>
                </c:pt>
                <c:pt idx="5">
                  <c:v>17298.8</c:v>
                </c:pt>
                <c:pt idx="6">
                  <c:v>16056.26</c:v>
                </c:pt>
                <c:pt idx="7">
                  <c:v>16955.25</c:v>
                </c:pt>
                <c:pt idx="8">
                  <c:v>15264.33</c:v>
                </c:pt>
              </c:numCache>
            </c:numRef>
          </c:cat>
          <c:val>
            <c:numRef>
              <c:f>'chod spotreby 2020-2023'!$C$19:$N$19</c:f>
              <c:numCache>
                <c:formatCode>0</c:formatCode>
                <c:ptCount val="12"/>
                <c:pt idx="0">
                  <c:v>142145.04999999999</c:v>
                </c:pt>
                <c:pt idx="1">
                  <c:v>143422.95000000001</c:v>
                </c:pt>
                <c:pt idx="2">
                  <c:v>110898.4</c:v>
                </c:pt>
                <c:pt idx="3">
                  <c:v>85719.32</c:v>
                </c:pt>
                <c:pt idx="4">
                  <c:v>30553.3</c:v>
                </c:pt>
                <c:pt idx="5">
                  <c:v>17298.8</c:v>
                </c:pt>
                <c:pt idx="6">
                  <c:v>16056.26</c:v>
                </c:pt>
                <c:pt idx="7">
                  <c:v>16955.25</c:v>
                </c:pt>
                <c:pt idx="8">
                  <c:v>15264.33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886400"/>
        <c:axId val="184940032"/>
      </c:lineChart>
      <c:lineChart>
        <c:grouping val="standard"/>
        <c:varyColors val="0"/>
        <c:ser>
          <c:idx val="0"/>
          <c:order val="0"/>
          <c:tx>
            <c:v>Měsíční spotřeby2020</c:v>
          </c:tx>
          <c:spPr>
            <a:ln w="15875">
              <a:solidFill>
                <a:schemeClr val="accent4">
                  <a:lumMod val="75000"/>
                </a:schemeClr>
              </a:solidFill>
              <a:prstDash val="dashDot"/>
            </a:ln>
          </c:spPr>
          <c:marker>
            <c:symbol val="none"/>
          </c:marker>
          <c:cat>
            <c:strRef>
              <c:f>'chod spotreby 2020-2023'!$C$15:$N$15</c:f>
              <c:strCache>
                <c:ptCount val="12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</c:strCache>
            </c:strRef>
          </c:cat>
          <c:val>
            <c:numRef>
              <c:f>'chod spotreby 2020-2023'!$C$20:$N$20</c:f>
              <c:numCache>
                <c:formatCode>0</c:formatCode>
                <c:ptCount val="12"/>
                <c:pt idx="0">
                  <c:v>32.106000000000002</c:v>
                </c:pt>
                <c:pt idx="1">
                  <c:v>29.588000000000001</c:v>
                </c:pt>
                <c:pt idx="2">
                  <c:v>22.760999999999999</c:v>
                </c:pt>
                <c:pt idx="3">
                  <c:v>12.021999999999998</c:v>
                </c:pt>
                <c:pt idx="4">
                  <c:v>7.6979999999999995</c:v>
                </c:pt>
                <c:pt idx="5">
                  <c:v>3.3570000000000002</c:v>
                </c:pt>
                <c:pt idx="6">
                  <c:v>1.7669999999999999</c:v>
                </c:pt>
                <c:pt idx="7">
                  <c:v>1.7730000000000001</c:v>
                </c:pt>
                <c:pt idx="8">
                  <c:v>2.2509999999999999</c:v>
                </c:pt>
                <c:pt idx="9">
                  <c:v>13.260999999999999</c:v>
                </c:pt>
                <c:pt idx="10">
                  <c:v>20.238</c:v>
                </c:pt>
                <c:pt idx="11">
                  <c:v>27.471999999999998</c:v>
                </c:pt>
              </c:numCache>
            </c:numRef>
          </c:val>
          <c:smooth val="0"/>
        </c:ser>
        <c:ser>
          <c:idx val="1"/>
          <c:order val="2"/>
          <c:tx>
            <c:v>Měsíční spotřeby 2021</c:v>
          </c:tx>
          <c:spPr>
            <a:ln w="12700">
              <a:solidFill>
                <a:srgbClr val="6600FF"/>
              </a:solidFill>
              <a:prstDash val="dashDot"/>
            </a:ln>
          </c:spPr>
          <c:marker>
            <c:symbol val="none"/>
          </c:marker>
          <c:cat>
            <c:strRef>
              <c:f>'chod spotreby 2020-2023'!$C$15:$N$15</c:f>
              <c:strCache>
                <c:ptCount val="12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</c:strCache>
            </c:strRef>
          </c:cat>
          <c:val>
            <c:numRef>
              <c:f>'chod spotreby 2020-2023'!$C$21:$N$21</c:f>
              <c:numCache>
                <c:formatCode>0</c:formatCode>
                <c:ptCount val="12"/>
                <c:pt idx="0">
                  <c:v>28.914000000000001</c:v>
                </c:pt>
                <c:pt idx="1">
                  <c:v>27.879000000000001</c:v>
                </c:pt>
                <c:pt idx="2">
                  <c:v>21.562999999999999</c:v>
                </c:pt>
                <c:pt idx="3">
                  <c:v>14</c:v>
                </c:pt>
                <c:pt idx="4">
                  <c:v>9.2569999999999997</c:v>
                </c:pt>
                <c:pt idx="5">
                  <c:v>2.7279999999999998</c:v>
                </c:pt>
                <c:pt idx="6">
                  <c:v>1.9789999999999999</c:v>
                </c:pt>
                <c:pt idx="7">
                  <c:v>2.222</c:v>
                </c:pt>
                <c:pt idx="8">
                  <c:v>3.5640000000000001</c:v>
                </c:pt>
                <c:pt idx="9">
                  <c:v>16.565000000000001</c:v>
                </c:pt>
                <c:pt idx="10">
                  <c:v>26.576999999999998</c:v>
                </c:pt>
                <c:pt idx="11">
                  <c:v>30.123000000000001</c:v>
                </c:pt>
              </c:numCache>
            </c:numRef>
          </c:val>
          <c:smooth val="0"/>
        </c:ser>
        <c:ser>
          <c:idx val="2"/>
          <c:order val="4"/>
          <c:tx>
            <c:v>měsíční spotřeby 2022</c:v>
          </c:tx>
          <c:spPr>
            <a:ln w="19050">
              <a:solidFill>
                <a:schemeClr val="accent6">
                  <a:lumMod val="50000"/>
                </a:schemeClr>
              </a:solidFill>
              <a:prstDash val="lgDashDot"/>
            </a:ln>
          </c:spPr>
          <c:marker>
            <c:symbol val="none"/>
          </c:marker>
          <c:cat>
            <c:strRef>
              <c:f>'chod spotreby 2020-2023'!$C$15:$N$15</c:f>
              <c:strCache>
                <c:ptCount val="12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</c:strCache>
            </c:strRef>
          </c:cat>
          <c:val>
            <c:numRef>
              <c:f>'chod spotreby 2020-2023'!$C$22:$N$22</c:f>
              <c:numCache>
                <c:formatCode>0</c:formatCode>
                <c:ptCount val="12"/>
                <c:pt idx="0">
                  <c:v>32.314999999999998</c:v>
                </c:pt>
                <c:pt idx="1">
                  <c:v>28.716000000000001</c:v>
                </c:pt>
                <c:pt idx="2">
                  <c:v>29.891000000000002</c:v>
                </c:pt>
                <c:pt idx="3">
                  <c:v>21.184000000000001</c:v>
                </c:pt>
                <c:pt idx="4">
                  <c:v>4.6059999999999999</c:v>
                </c:pt>
                <c:pt idx="5">
                  <c:v>1.8540000000000001</c:v>
                </c:pt>
                <c:pt idx="6">
                  <c:v>1.77</c:v>
                </c:pt>
                <c:pt idx="7">
                  <c:v>1.839</c:v>
                </c:pt>
                <c:pt idx="8">
                  <c:v>3.5949999999999998</c:v>
                </c:pt>
                <c:pt idx="9">
                  <c:v>13.318999999999999</c:v>
                </c:pt>
                <c:pt idx="10">
                  <c:v>21.728000000000002</c:v>
                </c:pt>
                <c:pt idx="11">
                  <c:v>30.760999999999999</c:v>
                </c:pt>
              </c:numCache>
            </c:numRef>
          </c:val>
          <c:smooth val="0"/>
        </c:ser>
        <c:ser>
          <c:idx val="6"/>
          <c:order val="7"/>
          <c:tx>
            <c:v>Měsíční spotřeby 2023</c:v>
          </c:tx>
          <c:spPr>
            <a:ln w="34925">
              <a:solidFill>
                <a:srgbClr val="FF0000"/>
              </a:solidFill>
              <a:prstDash val="dashDot"/>
            </a:ln>
          </c:spPr>
          <c:marker>
            <c:symbol val="none"/>
          </c:marker>
          <c:cat>
            <c:strRef>
              <c:f>'chod spotreby 2020-2023'!$C$15:$N$15</c:f>
              <c:strCache>
                <c:ptCount val="12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</c:strCache>
            </c:strRef>
          </c:cat>
          <c:val>
            <c:numRef>
              <c:f>'chod spotreby 2020-2023'!$C$23:$N$23</c:f>
              <c:numCache>
                <c:formatCode>0</c:formatCode>
                <c:ptCount val="12"/>
                <c:pt idx="0">
                  <c:v>26.973999999999997</c:v>
                </c:pt>
                <c:pt idx="1">
                  <c:v>27.552999999999997</c:v>
                </c:pt>
                <c:pt idx="2">
                  <c:v>25.029000000000003</c:v>
                </c:pt>
                <c:pt idx="3">
                  <c:v>19.905000000000001</c:v>
                </c:pt>
                <c:pt idx="4">
                  <c:v>7.09</c:v>
                </c:pt>
                <c:pt idx="5">
                  <c:v>2.6059999999999999</c:v>
                </c:pt>
                <c:pt idx="6">
                  <c:v>2.4370000000000003</c:v>
                </c:pt>
                <c:pt idx="7">
                  <c:v>2.5510000000000002</c:v>
                </c:pt>
                <c:pt idx="8">
                  <c:v>2.0390000000000001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323072"/>
        <c:axId val="185563008"/>
      </c:lineChart>
      <c:catAx>
        <c:axId val="184886400"/>
        <c:scaling>
          <c:orientation val="minMax"/>
        </c:scaling>
        <c:delete val="1"/>
        <c:axPos val="b"/>
        <c:minorGridlines/>
        <c:majorTickMark val="out"/>
        <c:minorTickMark val="none"/>
        <c:tickLblPos val="nextTo"/>
        <c:crossAx val="184940032"/>
        <c:crosses val="autoZero"/>
        <c:auto val="0"/>
        <c:lblAlgn val="ctr"/>
        <c:lblOffset val="100"/>
        <c:tickLblSkip val="1"/>
        <c:tickMarkSkip val="2"/>
        <c:noMultiLvlLbl val="0"/>
      </c:catAx>
      <c:valAx>
        <c:axId val="184940032"/>
        <c:scaling>
          <c:orientation val="minMax"/>
          <c:max val="200000"/>
          <c:min val="0"/>
        </c:scaling>
        <c:delete val="0"/>
        <c:axPos val="l"/>
        <c:majorGridlines>
          <c:spPr>
            <a:ln w="3175">
              <a:solidFill>
                <a:schemeClr val="bg2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out"/>
        <c:minorTickMark val="none"/>
        <c:tickLblPos val="nextTo"/>
        <c:crossAx val="184886400"/>
        <c:crosses val="autoZero"/>
        <c:crossBetween val="between"/>
        <c:majorUnit val="25000"/>
      </c:valAx>
      <c:valAx>
        <c:axId val="185563008"/>
        <c:scaling>
          <c:orientation val="minMax"/>
          <c:max val="18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spPr>
          <a:ln w="22225"/>
        </c:spPr>
        <c:txPr>
          <a:bodyPr/>
          <a:lstStyle/>
          <a:p>
            <a:pPr>
              <a:defRPr b="1"/>
            </a:pPr>
            <a:endParaRPr lang="cs-CZ"/>
          </a:p>
        </c:txPr>
        <c:crossAx val="136323072"/>
        <c:crosses val="max"/>
        <c:crossBetween val="between"/>
        <c:majorUnit val="10"/>
      </c:valAx>
      <c:catAx>
        <c:axId val="136323072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185563008"/>
        <c:crosses val="autoZero"/>
        <c:auto val="1"/>
        <c:lblAlgn val="ctr"/>
        <c:lblOffset val="100"/>
        <c:noMultiLvlLbl val="0"/>
      </c:catAx>
      <c:spPr>
        <a:ln cmpd="sng">
          <a:solidFill>
            <a:srgbClr val="009900"/>
          </a:solidFill>
        </a:ln>
      </c:spPr>
    </c:plotArea>
    <c:legend>
      <c:legendPos val="b"/>
      <c:layout>
        <c:manualLayout>
          <c:xMode val="edge"/>
          <c:yMode val="edge"/>
          <c:x val="5.4737502639756533E-2"/>
          <c:y val="0.88509042502598945"/>
          <c:w val="0.69331261790506749"/>
          <c:h val="5.0521690671601935E-2"/>
        </c:manualLayout>
      </c:layout>
      <c:overlay val="0"/>
      <c:txPr>
        <a:bodyPr/>
        <a:lstStyle/>
        <a:p>
          <a:pPr>
            <a:defRPr sz="1100"/>
          </a:pPr>
          <a:endParaRPr lang="cs-CZ"/>
        </a:p>
      </c:txPr>
    </c:legend>
    <c:plotVisOnly val="1"/>
    <c:dispBlanksAs val="gap"/>
    <c:showDLblsOverMax val="0"/>
  </c:chart>
  <c:spPr>
    <a:solidFill>
      <a:srgbClr val="FFFFCC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20181283328499"/>
          <c:y val="3.9955177556124835E-2"/>
          <c:w val="0.66622151377917149"/>
          <c:h val="0.83390308675629321"/>
        </c:manualLayout>
      </c:layout>
      <c:lineChart>
        <c:grouping val="standard"/>
        <c:varyColors val="0"/>
        <c:ser>
          <c:idx val="0"/>
          <c:order val="3"/>
          <c:tx>
            <c:v>platba celkem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'rocni spotřeby'!$B$3:$B$11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 formatCode="0">
                  <c:v>2023</c:v>
                </c:pt>
              </c:numCache>
            </c:numRef>
          </c:cat>
          <c:val>
            <c:numRef>
              <c:f>'rocni spotřeby'!$C$3:$C$11</c:f>
              <c:numCache>
                <c:formatCode>0</c:formatCode>
                <c:ptCount val="9"/>
                <c:pt idx="0">
                  <c:v>521978.87000000011</c:v>
                </c:pt>
                <c:pt idx="1">
                  <c:v>509413.79</c:v>
                </c:pt>
                <c:pt idx="2">
                  <c:v>503830.24</c:v>
                </c:pt>
                <c:pt idx="3">
                  <c:v>504526.64</c:v>
                </c:pt>
                <c:pt idx="4">
                  <c:v>588379.65</c:v>
                </c:pt>
                <c:pt idx="5">
                  <c:v>524588.39</c:v>
                </c:pt>
                <c:pt idx="6">
                  <c:v>502427</c:v>
                </c:pt>
                <c:pt idx="7">
                  <c:v>880596.14999999979</c:v>
                </c:pt>
                <c:pt idx="8">
                  <c:v>578313.66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615040"/>
        <c:axId val="160629120"/>
      </c:lineChart>
      <c:lineChart>
        <c:grouping val="standard"/>
        <c:varyColors val="0"/>
        <c:ser>
          <c:idx val="1"/>
          <c:order val="0"/>
          <c:tx>
            <c:v>spotřeba VT</c:v>
          </c:tx>
          <c:spPr>
            <a:ln w="19050">
              <a:solidFill>
                <a:srgbClr val="0070C0"/>
              </a:solidFill>
              <a:prstDash val="sysDash"/>
            </a:ln>
          </c:spPr>
          <c:marker>
            <c:symbol val="none"/>
          </c:marker>
          <c:cat>
            <c:numRef>
              <c:f>'rocni spotřeby'!$B$3:$B$12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 formatCode="0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'rocni spotřeby'!$D$3:$D$11</c:f>
              <c:numCache>
                <c:formatCode>0.0</c:formatCode>
                <c:ptCount val="9"/>
                <c:pt idx="0">
                  <c:v>44.994</c:v>
                </c:pt>
                <c:pt idx="1">
                  <c:v>52.484000000000002</c:v>
                </c:pt>
                <c:pt idx="2">
                  <c:v>45.195999999999998</c:v>
                </c:pt>
                <c:pt idx="3">
                  <c:v>36.472000000000001</c:v>
                </c:pt>
                <c:pt idx="4">
                  <c:v>33.553999999999995</c:v>
                </c:pt>
                <c:pt idx="5">
                  <c:v>23.603000000000002</c:v>
                </c:pt>
                <c:pt idx="6">
                  <c:v>25.779</c:v>
                </c:pt>
                <c:pt idx="7">
                  <c:v>34.002000000000002</c:v>
                </c:pt>
                <c:pt idx="8" formatCode="General">
                  <c:v>19.741</c:v>
                </c:pt>
              </c:numCache>
            </c:numRef>
          </c:val>
          <c:smooth val="0"/>
        </c:ser>
        <c:ser>
          <c:idx val="2"/>
          <c:order val="1"/>
          <c:tx>
            <c:v>spotřeba NT</c:v>
          </c:tx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'rocni spotřeby'!$B$3:$B$12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 formatCode="0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'rocni spotřeby'!$E$3:$E$11</c:f>
              <c:numCache>
                <c:formatCode>0.0</c:formatCode>
                <c:ptCount val="9"/>
                <c:pt idx="0">
                  <c:v>159.55799999999999</c:v>
                </c:pt>
                <c:pt idx="1">
                  <c:v>152.85599999999999</c:v>
                </c:pt>
                <c:pt idx="2">
                  <c:v>174.77800000000002</c:v>
                </c:pt>
                <c:pt idx="3">
                  <c:v>163.821</c:v>
                </c:pt>
                <c:pt idx="4">
                  <c:v>162.56700000000004</c:v>
                </c:pt>
                <c:pt idx="5">
                  <c:v>150.69099999999997</c:v>
                </c:pt>
                <c:pt idx="6">
                  <c:v>159.59199999999998</c:v>
                </c:pt>
                <c:pt idx="7">
                  <c:v>157.57599999999999</c:v>
                </c:pt>
                <c:pt idx="8" formatCode="General">
                  <c:v>96.443000000000012</c:v>
                </c:pt>
              </c:numCache>
            </c:numRef>
          </c:val>
          <c:smooth val="0"/>
        </c:ser>
        <c:ser>
          <c:idx val="3"/>
          <c:order val="2"/>
          <c:tx>
            <c:v>spotřeba celkem</c:v>
          </c:tx>
          <c:spPr>
            <a:ln w="19050">
              <a:solidFill>
                <a:srgbClr val="6600FF"/>
              </a:solidFill>
            </a:ln>
          </c:spPr>
          <c:marker>
            <c:symbol val="none"/>
          </c:marker>
          <c:cat>
            <c:numRef>
              <c:f>'rocni spotřeby'!$B$3:$B$12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 formatCode="0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'rocni spotřeby'!$F$3:$F$11</c:f>
              <c:numCache>
                <c:formatCode>0.0</c:formatCode>
                <c:ptCount val="9"/>
                <c:pt idx="0">
                  <c:v>204.55200000000002</c:v>
                </c:pt>
                <c:pt idx="1">
                  <c:v>205.34</c:v>
                </c:pt>
                <c:pt idx="2">
                  <c:v>219.97400000000002</c:v>
                </c:pt>
                <c:pt idx="3">
                  <c:v>200.29299999999998</c:v>
                </c:pt>
                <c:pt idx="4">
                  <c:v>196.12100000000001</c:v>
                </c:pt>
                <c:pt idx="5">
                  <c:v>174.29400000000001</c:v>
                </c:pt>
                <c:pt idx="6">
                  <c:v>185.37099999999998</c:v>
                </c:pt>
                <c:pt idx="7">
                  <c:v>191.57799999999997</c:v>
                </c:pt>
                <c:pt idx="8" formatCode="0.00">
                  <c:v>116.184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632192"/>
        <c:axId val="160630656"/>
      </c:lineChart>
      <c:dateAx>
        <c:axId val="160615040"/>
        <c:scaling>
          <c:orientation val="minMax"/>
        </c:scaling>
        <c:delete val="0"/>
        <c:axPos val="b"/>
        <c:majorGridlines>
          <c:spPr>
            <a:ln w="3175">
              <a:prstDash val="dash"/>
            </a:ln>
          </c:spPr>
        </c:majorGridlines>
        <c:numFmt formatCode="General" sourceLinked="0"/>
        <c:majorTickMark val="out"/>
        <c:minorTickMark val="none"/>
        <c:tickLblPos val="nextTo"/>
        <c:crossAx val="160629120"/>
        <c:crosses val="autoZero"/>
        <c:auto val="0"/>
        <c:lblOffset val="100"/>
        <c:baseTimeUnit val="days"/>
        <c:majorUnit val="1"/>
      </c:dateAx>
      <c:valAx>
        <c:axId val="160629120"/>
        <c:scaling>
          <c:orientation val="minMax"/>
          <c:max val="1500000"/>
          <c:min val="100000"/>
        </c:scaling>
        <c:delete val="0"/>
        <c:axPos val="l"/>
        <c:majorGridlines>
          <c:spPr>
            <a:ln w="6350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lgDash"/>
            </a:ln>
          </c:spPr>
        </c:majorGridlines>
        <c:minorGridlines>
          <c:spPr>
            <a:ln w="3175">
              <a:noFill/>
              <a:prstDash val="sysDot"/>
            </a:ln>
          </c:spPr>
        </c:minorGridlines>
        <c:numFmt formatCode="#,##0\ &quot;Kč&quot;" sourceLinked="0"/>
        <c:majorTickMark val="out"/>
        <c:minorTickMark val="out"/>
        <c:tickLblPos val="nextTo"/>
        <c:crossAx val="160615040"/>
        <c:crossesAt val="1"/>
        <c:crossBetween val="midCat"/>
        <c:majorUnit val="100000"/>
        <c:minorUnit val="50000"/>
      </c:valAx>
      <c:valAx>
        <c:axId val="160630656"/>
        <c:scaling>
          <c:orientation val="minMax"/>
          <c:max val="230"/>
          <c:min val="0"/>
        </c:scaling>
        <c:delete val="0"/>
        <c:axPos val="r"/>
        <c:numFmt formatCode="0.0" sourceLinked="1"/>
        <c:majorTickMark val="out"/>
        <c:minorTickMark val="none"/>
        <c:tickLblPos val="nextTo"/>
        <c:crossAx val="160632192"/>
        <c:crosses val="max"/>
        <c:crossBetween val="between"/>
        <c:minorUnit val="10"/>
      </c:valAx>
      <c:catAx>
        <c:axId val="160632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0630656"/>
        <c:crosses val="autoZero"/>
        <c:auto val="1"/>
        <c:lblAlgn val="ctr"/>
        <c:lblOffset val="100"/>
        <c:noMultiLvlLbl val="0"/>
      </c:catAx>
      <c:spPr>
        <a:solidFill>
          <a:srgbClr val="FFFF99">
            <a:alpha val="38000"/>
          </a:srgbClr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99FFCC">
        <a:alpha val="25000"/>
      </a:srgbClr>
    </a:solidFill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13649492745423E-2"/>
          <c:y val="2.7756310140280002E-2"/>
          <c:w val="0.83596276531811853"/>
          <c:h val="0.78937688558145058"/>
        </c:manualLayout>
      </c:layout>
      <c:lineChart>
        <c:grouping val="standard"/>
        <c:varyColors val="0"/>
        <c:ser>
          <c:idx val="1"/>
          <c:order val="0"/>
          <c:tx>
            <c:strRef>
              <c:f>'chod spotreby 2015-2019'!$B$17</c:f>
              <c:strCache>
                <c:ptCount val="1"/>
                <c:pt idx="0">
                  <c:v> Měsíční platby 2016</c:v>
                </c:pt>
              </c:strCache>
            </c:strRef>
          </c:tx>
          <c:spPr>
            <a:ln w="22225">
              <a:solidFill>
                <a:srgbClr val="FF0066"/>
              </a:solidFill>
              <a:prstDash val="sysDash"/>
            </a:ln>
          </c:spPr>
          <c:marker>
            <c:symbol val="none"/>
          </c:marker>
          <c:val>
            <c:numRef>
              <c:f>'chod spotreby 2015-2019'!$C$17:$N$17</c:f>
              <c:numCache>
                <c:formatCode>0</c:formatCode>
                <c:ptCount val="12"/>
                <c:pt idx="0">
                  <c:v>77110.2</c:v>
                </c:pt>
                <c:pt idx="1">
                  <c:v>57392.91</c:v>
                </c:pt>
                <c:pt idx="2">
                  <c:v>57202.25</c:v>
                </c:pt>
                <c:pt idx="3">
                  <c:v>37966.080000000002</c:v>
                </c:pt>
                <c:pt idx="4">
                  <c:v>31985.91</c:v>
                </c:pt>
                <c:pt idx="5">
                  <c:v>19458.75</c:v>
                </c:pt>
                <c:pt idx="6">
                  <c:v>19353.919999999998</c:v>
                </c:pt>
                <c:pt idx="7">
                  <c:v>18221</c:v>
                </c:pt>
                <c:pt idx="8">
                  <c:v>15286.27</c:v>
                </c:pt>
                <c:pt idx="9">
                  <c:v>36922.269999999997</c:v>
                </c:pt>
                <c:pt idx="10">
                  <c:v>65024.35</c:v>
                </c:pt>
                <c:pt idx="11">
                  <c:v>74632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'chod spotreby 2015-2019'!$B$18</c:f>
              <c:strCache>
                <c:ptCount val="1"/>
                <c:pt idx="0">
                  <c:v> Měsíční platby 2017</c:v>
                </c:pt>
              </c:strCache>
            </c:strRef>
          </c:tx>
          <c:spPr>
            <a:ln w="9525">
              <a:solidFill>
                <a:srgbClr val="FF0000"/>
              </a:solidFill>
              <a:prstDash val="lgDashDotDot"/>
            </a:ln>
          </c:spPr>
          <c:marker>
            <c:symbol val="none"/>
          </c:marker>
          <c:val>
            <c:numRef>
              <c:f>'chod spotreby 2015-2019'!$C$18:$N$18</c:f>
              <c:numCache>
                <c:formatCode>0</c:formatCode>
                <c:ptCount val="12"/>
                <c:pt idx="0">
                  <c:v>95405.49</c:v>
                </c:pt>
                <c:pt idx="1">
                  <c:v>68814.2</c:v>
                </c:pt>
                <c:pt idx="2">
                  <c:v>47864.14</c:v>
                </c:pt>
                <c:pt idx="3">
                  <c:v>34910.14</c:v>
                </c:pt>
                <c:pt idx="4">
                  <c:v>27518</c:v>
                </c:pt>
                <c:pt idx="5">
                  <c:v>10410</c:v>
                </c:pt>
                <c:pt idx="6">
                  <c:v>10761</c:v>
                </c:pt>
                <c:pt idx="7">
                  <c:v>11121</c:v>
                </c:pt>
                <c:pt idx="8">
                  <c:v>21074</c:v>
                </c:pt>
                <c:pt idx="9">
                  <c:v>41146.620000000003</c:v>
                </c:pt>
                <c:pt idx="10">
                  <c:v>57466.86</c:v>
                </c:pt>
                <c:pt idx="11">
                  <c:v>77338.789999999994</c:v>
                </c:pt>
              </c:numCache>
            </c:numRef>
          </c:val>
          <c:smooth val="0"/>
        </c:ser>
        <c:ser>
          <c:idx val="9"/>
          <c:order val="4"/>
          <c:tx>
            <c:strRef>
              <c:f>'chod spotreby 2015-2019'!$B$19</c:f>
              <c:strCache>
                <c:ptCount val="1"/>
                <c:pt idx="0">
                  <c:v> Měsíční platby 2018</c:v>
                </c:pt>
              </c:strCache>
            </c:strRef>
          </c:tx>
          <c:spPr>
            <a:ln w="22225">
              <a:solidFill>
                <a:srgbClr val="FF0000"/>
              </a:solidFill>
              <a:prstDash val="dashDot"/>
            </a:ln>
          </c:spPr>
          <c:marker>
            <c:symbol val="none"/>
          </c:marker>
          <c:val>
            <c:numRef>
              <c:f>'chod spotreby 2015-2019'!$C$19:$N$19</c:f>
              <c:numCache>
                <c:formatCode>0</c:formatCode>
                <c:ptCount val="12"/>
                <c:pt idx="0">
                  <c:v>71329.070000000007</c:v>
                </c:pt>
                <c:pt idx="1">
                  <c:v>81404.34</c:v>
                </c:pt>
                <c:pt idx="2">
                  <c:v>84458</c:v>
                </c:pt>
                <c:pt idx="3">
                  <c:v>31128.57</c:v>
                </c:pt>
                <c:pt idx="4">
                  <c:v>12911</c:v>
                </c:pt>
                <c:pt idx="5">
                  <c:v>12846</c:v>
                </c:pt>
                <c:pt idx="6">
                  <c:v>12129</c:v>
                </c:pt>
                <c:pt idx="7">
                  <c:v>11911.95</c:v>
                </c:pt>
                <c:pt idx="8">
                  <c:v>12842.15</c:v>
                </c:pt>
                <c:pt idx="9">
                  <c:v>33622</c:v>
                </c:pt>
                <c:pt idx="10">
                  <c:v>59090</c:v>
                </c:pt>
                <c:pt idx="11">
                  <c:v>80854.559999999998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'chod spotreby 2015-2019'!$B$20</c:f>
              <c:strCache>
                <c:ptCount val="1"/>
                <c:pt idx="0">
                  <c:v> Měsíční platby 2019</c:v>
                </c:pt>
              </c:strCache>
            </c:strRef>
          </c:tx>
          <c:spPr>
            <a:ln w="9525">
              <a:solidFill>
                <a:srgbClr val="FF5050">
                  <a:alpha val="80784"/>
                </a:srgbClr>
              </a:solidFill>
              <a:prstDash val="lgDash"/>
            </a:ln>
          </c:spPr>
          <c:marker>
            <c:symbol val="none"/>
          </c:marker>
          <c:val>
            <c:numRef>
              <c:f>'chod spotreby 2015-2019'!$C$20:$N$20</c:f>
              <c:numCache>
                <c:formatCode>0</c:formatCode>
                <c:ptCount val="12"/>
                <c:pt idx="0">
                  <c:v>100535</c:v>
                </c:pt>
                <c:pt idx="1">
                  <c:v>83868</c:v>
                </c:pt>
                <c:pt idx="2">
                  <c:v>74183</c:v>
                </c:pt>
                <c:pt idx="3">
                  <c:v>50355</c:v>
                </c:pt>
                <c:pt idx="4">
                  <c:v>37168.65</c:v>
                </c:pt>
                <c:pt idx="5">
                  <c:v>14563</c:v>
                </c:pt>
                <c:pt idx="6">
                  <c:v>13176</c:v>
                </c:pt>
                <c:pt idx="7">
                  <c:v>13756</c:v>
                </c:pt>
                <c:pt idx="8">
                  <c:v>16438</c:v>
                </c:pt>
                <c:pt idx="9">
                  <c:v>38787</c:v>
                </c:pt>
                <c:pt idx="10">
                  <c:v>69331</c:v>
                </c:pt>
                <c:pt idx="11">
                  <c:v>76219</c:v>
                </c:pt>
              </c:numCache>
            </c:numRef>
          </c:val>
          <c:smooth val="0"/>
        </c:ser>
        <c:ser>
          <c:idx val="3"/>
          <c:order val="9"/>
          <c:tx>
            <c:v>Měsíční platby 2015</c:v>
          </c:tx>
          <c:spPr>
            <a:ln w="3175">
              <a:solidFill>
                <a:schemeClr val="accent2">
                  <a:lumMod val="75000"/>
                </a:schemeClr>
              </a:solidFill>
              <a:prstDash val="lgDash"/>
            </a:ln>
          </c:spPr>
          <c:marker>
            <c:symbol val="none"/>
          </c:marker>
          <c:val>
            <c:numRef>
              <c:f>'chod spotreby 2015-2019'!$C$16:$N$16</c:f>
              <c:numCache>
                <c:formatCode>0</c:formatCode>
                <c:ptCount val="12"/>
                <c:pt idx="0">
                  <c:v>74454.320000000007</c:v>
                </c:pt>
                <c:pt idx="1">
                  <c:v>71788.510000000009</c:v>
                </c:pt>
                <c:pt idx="2">
                  <c:v>66382.97</c:v>
                </c:pt>
                <c:pt idx="3">
                  <c:v>47249.51</c:v>
                </c:pt>
                <c:pt idx="4">
                  <c:v>27440.18</c:v>
                </c:pt>
                <c:pt idx="5">
                  <c:v>16855.7</c:v>
                </c:pt>
                <c:pt idx="6">
                  <c:v>16328.49</c:v>
                </c:pt>
                <c:pt idx="7">
                  <c:v>15661.09</c:v>
                </c:pt>
                <c:pt idx="8">
                  <c:v>17393.71</c:v>
                </c:pt>
                <c:pt idx="9">
                  <c:v>46184.28</c:v>
                </c:pt>
                <c:pt idx="10">
                  <c:v>54464.08</c:v>
                </c:pt>
                <c:pt idx="11">
                  <c:v>67776.03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823168"/>
        <c:axId val="160824704"/>
      </c:lineChart>
      <c:lineChart>
        <c:grouping val="standard"/>
        <c:varyColors val="0"/>
        <c:ser>
          <c:idx val="4"/>
          <c:order val="1"/>
          <c:tx>
            <c:strRef>
              <c:f>'chod spotreby 2015-2019'!$B$23</c:f>
              <c:strCache>
                <c:ptCount val="1"/>
                <c:pt idx="0">
                  <c:v> Měsíční spotřeby 2016</c:v>
                </c:pt>
              </c:strCache>
            </c:strRef>
          </c:tx>
          <c:spPr>
            <a:ln w="9525">
              <a:solidFill>
                <a:srgbClr val="00A44A"/>
              </a:solidFill>
              <a:prstDash val="lgDashDotDot"/>
            </a:ln>
          </c:spPr>
          <c:marker>
            <c:symbol val="none"/>
          </c:marker>
          <c:val>
            <c:numRef>
              <c:f>'chod spotreby 2015-2019'!$C$23:$N$23</c:f>
              <c:numCache>
                <c:formatCode>0.00</c:formatCode>
                <c:ptCount val="12"/>
                <c:pt idx="0">
                  <c:v>34.878999999999998</c:v>
                </c:pt>
                <c:pt idx="1">
                  <c:v>25.803999999999998</c:v>
                </c:pt>
                <c:pt idx="2">
                  <c:v>25.617999999999999</c:v>
                </c:pt>
                <c:pt idx="3">
                  <c:v>16.326999999999998</c:v>
                </c:pt>
                <c:pt idx="4">
                  <c:v>11.306000000000001</c:v>
                </c:pt>
                <c:pt idx="5">
                  <c:v>4.2320000000000002</c:v>
                </c:pt>
                <c:pt idx="6">
                  <c:v>4.01</c:v>
                </c:pt>
                <c:pt idx="7">
                  <c:v>3.681</c:v>
                </c:pt>
                <c:pt idx="8">
                  <c:v>3.1059999999999999</c:v>
                </c:pt>
                <c:pt idx="9">
                  <c:v>15.062000000000001</c:v>
                </c:pt>
                <c:pt idx="10">
                  <c:v>28.067</c:v>
                </c:pt>
                <c:pt idx="11">
                  <c:v>33.247999999999998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'chod spotreby 2015-2019'!$B$24</c:f>
              <c:strCache>
                <c:ptCount val="1"/>
                <c:pt idx="0">
                  <c:v> Měsíční spotřeby 2017</c:v>
                </c:pt>
              </c:strCache>
            </c:strRef>
          </c:tx>
          <c:spPr>
            <a:ln w="22225">
              <a:solidFill>
                <a:srgbClr val="00A44A"/>
              </a:solidFill>
              <a:prstDash val="sysDash"/>
            </a:ln>
          </c:spPr>
          <c:marker>
            <c:symbol val="none"/>
          </c:marker>
          <c:val>
            <c:numRef>
              <c:f>'chod spotreby 2015-2019'!$C$24:$N$24</c:f>
              <c:numCache>
                <c:formatCode>0.00</c:formatCode>
                <c:ptCount val="12"/>
                <c:pt idx="0">
                  <c:v>45.787999999999997</c:v>
                </c:pt>
                <c:pt idx="1">
                  <c:v>32.642000000000003</c:v>
                </c:pt>
                <c:pt idx="2">
                  <c:v>21.969000000000001</c:v>
                </c:pt>
                <c:pt idx="3">
                  <c:v>15.234999999999999</c:v>
                </c:pt>
                <c:pt idx="4">
                  <c:v>10.504</c:v>
                </c:pt>
                <c:pt idx="5">
                  <c:v>1.7290000000000001</c:v>
                </c:pt>
                <c:pt idx="6">
                  <c:v>1.7829999999999999</c:v>
                </c:pt>
                <c:pt idx="7">
                  <c:v>1.8660000000000001</c:v>
                </c:pt>
                <c:pt idx="8">
                  <c:v>8.5309999999999988</c:v>
                </c:pt>
                <c:pt idx="9">
                  <c:v>17.689</c:v>
                </c:pt>
                <c:pt idx="10">
                  <c:v>25.91</c:v>
                </c:pt>
                <c:pt idx="11">
                  <c:v>36.327999999999996</c:v>
                </c:pt>
              </c:numCache>
            </c:numRef>
          </c:val>
          <c:smooth val="0"/>
        </c:ser>
        <c:ser>
          <c:idx val="10"/>
          <c:order val="5"/>
          <c:tx>
            <c:strRef>
              <c:f>'chod spotreby 2015-2019'!$B$25</c:f>
              <c:strCache>
                <c:ptCount val="1"/>
                <c:pt idx="0">
                  <c:v> Měsíční spotřeby 2018</c:v>
                </c:pt>
              </c:strCache>
            </c:strRef>
          </c:tx>
          <c:spPr>
            <a:ln w="22225">
              <a:solidFill>
                <a:schemeClr val="accent4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'chod spotreby 2015-2019'!$C$25:$N$25</c:f>
              <c:numCache>
                <c:formatCode>0.00</c:formatCode>
                <c:ptCount val="12"/>
                <c:pt idx="0">
                  <c:v>31.026</c:v>
                </c:pt>
                <c:pt idx="1">
                  <c:v>34.841000000000001</c:v>
                </c:pt>
                <c:pt idx="2">
                  <c:v>38.984999999999999</c:v>
                </c:pt>
                <c:pt idx="3">
                  <c:v>11.743</c:v>
                </c:pt>
                <c:pt idx="4">
                  <c:v>2.6779999999999999</c:v>
                </c:pt>
                <c:pt idx="5">
                  <c:v>2.3210000000000002</c:v>
                </c:pt>
                <c:pt idx="6">
                  <c:v>1.9220000000000002</c:v>
                </c:pt>
                <c:pt idx="7">
                  <c:v>1.875</c:v>
                </c:pt>
                <c:pt idx="8">
                  <c:v>2.5329999999999999</c:v>
                </c:pt>
                <c:pt idx="9">
                  <c:v>12.698</c:v>
                </c:pt>
                <c:pt idx="10">
                  <c:v>24.862000000000002</c:v>
                </c:pt>
                <c:pt idx="11">
                  <c:v>34.808999999999997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'chod spotreby 2015-2019'!$B$26</c:f>
              <c:strCache>
                <c:ptCount val="1"/>
                <c:pt idx="0">
                  <c:v> Měsíční spotřeby 2019</c:v>
                </c:pt>
              </c:strCache>
            </c:strRef>
          </c:tx>
          <c:spPr>
            <a:ln w="9525">
              <a:solidFill>
                <a:schemeClr val="tx2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'chod spotreby 2015-2019'!$C$26:$N$26</c:f>
              <c:numCache>
                <c:formatCode>0.00</c:formatCode>
                <c:ptCount val="12"/>
                <c:pt idx="0">
                  <c:v>37.244999999999997</c:v>
                </c:pt>
                <c:pt idx="1">
                  <c:v>30.04</c:v>
                </c:pt>
                <c:pt idx="2">
                  <c:v>26.212</c:v>
                </c:pt>
                <c:pt idx="3">
                  <c:v>17.004999999999999</c:v>
                </c:pt>
                <c:pt idx="4">
                  <c:v>11.151</c:v>
                </c:pt>
                <c:pt idx="5">
                  <c:v>2.2749999999999999</c:v>
                </c:pt>
                <c:pt idx="6">
                  <c:v>1.7930000000000001</c:v>
                </c:pt>
                <c:pt idx="7">
                  <c:v>1.901</c:v>
                </c:pt>
                <c:pt idx="8">
                  <c:v>3.327</c:v>
                </c:pt>
                <c:pt idx="9">
                  <c:v>12.124000000000001</c:v>
                </c:pt>
                <c:pt idx="10">
                  <c:v>24.672000000000001</c:v>
                </c:pt>
                <c:pt idx="11">
                  <c:v>28.376000000000001</c:v>
                </c:pt>
              </c:numCache>
            </c:numRef>
          </c:val>
          <c:smooth val="0"/>
        </c:ser>
        <c:ser>
          <c:idx val="0"/>
          <c:order val="8"/>
          <c:tx>
            <c:v>Měsíční spotřeby 2015</c:v>
          </c:tx>
          <c:spPr>
            <a:ln w="3175">
              <a:solidFill>
                <a:schemeClr val="accent2">
                  <a:lumMod val="75000"/>
                </a:schemeClr>
              </a:solidFill>
              <a:prstDash val="lgDash"/>
            </a:ln>
          </c:spPr>
          <c:marker>
            <c:symbol val="none"/>
          </c:marker>
          <c:val>
            <c:numRef>
              <c:f>'chod spotreby 2015-2019'!$C$22:$N$22</c:f>
              <c:numCache>
                <c:formatCode>0.00</c:formatCode>
                <c:ptCount val="12"/>
                <c:pt idx="0">
                  <c:v>32.155999999999999</c:v>
                </c:pt>
                <c:pt idx="1">
                  <c:v>30.392000000000003</c:v>
                </c:pt>
                <c:pt idx="2">
                  <c:v>28.856999999999999</c:v>
                </c:pt>
                <c:pt idx="3">
                  <c:v>19.787000000000003</c:v>
                </c:pt>
                <c:pt idx="4">
                  <c:v>10.226000000000001</c:v>
                </c:pt>
                <c:pt idx="5">
                  <c:v>4.0720000000000001</c:v>
                </c:pt>
                <c:pt idx="6">
                  <c:v>3.0540000000000003</c:v>
                </c:pt>
                <c:pt idx="7">
                  <c:v>2.9660000000000002</c:v>
                </c:pt>
                <c:pt idx="8">
                  <c:v>4.2609999999999992</c:v>
                </c:pt>
                <c:pt idx="9">
                  <c:v>16.948</c:v>
                </c:pt>
                <c:pt idx="10">
                  <c:v>22.46</c:v>
                </c:pt>
                <c:pt idx="11">
                  <c:v>29.372999999999998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208576"/>
        <c:axId val="183207040"/>
      </c:lineChart>
      <c:catAx>
        <c:axId val="160823168"/>
        <c:scaling>
          <c:orientation val="minMax"/>
        </c:scaling>
        <c:delete val="0"/>
        <c:axPos val="b"/>
        <c:minorGridlines>
          <c:spPr>
            <a:ln w="3175">
              <a:solidFill>
                <a:schemeClr val="tx2">
                  <a:lumMod val="60000"/>
                  <a:lumOff val="40000"/>
                </a:schemeClr>
              </a:solidFill>
              <a:prstDash val="sysDot"/>
            </a:ln>
          </c:spPr>
        </c:minorGridlines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cs-CZ"/>
          </a:p>
        </c:txPr>
        <c:crossAx val="160824704"/>
        <c:crosses val="autoZero"/>
        <c:auto val="0"/>
        <c:lblAlgn val="ctr"/>
        <c:lblOffset val="100"/>
        <c:tickMarkSkip val="2"/>
        <c:noMultiLvlLbl val="0"/>
      </c:catAx>
      <c:valAx>
        <c:axId val="160824704"/>
        <c:scaling>
          <c:orientation val="minMax"/>
          <c:max val="110000"/>
          <c:min val="0"/>
        </c:scaling>
        <c:delete val="0"/>
        <c:axPos val="l"/>
        <c:majorGridlines>
          <c:spPr>
            <a:ln w="3175">
              <a:solidFill>
                <a:schemeClr val="bg2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out"/>
        <c:minorTickMark val="none"/>
        <c:tickLblPos val="nextTo"/>
        <c:crossAx val="160823168"/>
        <c:crosses val="autoZero"/>
        <c:crossBetween val="midCat"/>
      </c:valAx>
      <c:valAx>
        <c:axId val="183207040"/>
        <c:scaling>
          <c:orientation val="minMax"/>
          <c:max val="120"/>
        </c:scaling>
        <c:delete val="0"/>
        <c:axPos val="r"/>
        <c:numFmt formatCode="0" sourceLinked="0"/>
        <c:majorTickMark val="out"/>
        <c:minorTickMark val="none"/>
        <c:tickLblPos val="nextTo"/>
        <c:spPr>
          <a:ln w="22225"/>
        </c:spPr>
        <c:txPr>
          <a:bodyPr/>
          <a:lstStyle/>
          <a:p>
            <a:pPr>
              <a:defRPr b="1"/>
            </a:pPr>
            <a:endParaRPr lang="cs-CZ"/>
          </a:p>
        </c:txPr>
        <c:crossAx val="183208576"/>
        <c:crosses val="max"/>
        <c:crossBetween val="between"/>
      </c:valAx>
      <c:catAx>
        <c:axId val="183208576"/>
        <c:scaling>
          <c:orientation val="minMax"/>
        </c:scaling>
        <c:delete val="1"/>
        <c:axPos val="b"/>
        <c:majorTickMark val="out"/>
        <c:minorTickMark val="none"/>
        <c:tickLblPos val="nextTo"/>
        <c:crossAx val="183207040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5.4737502639756533E-2"/>
          <c:y val="0.88509042502598945"/>
          <c:w val="0.8209595395706113"/>
          <c:h val="7.172151611272562E-2"/>
        </c:manualLayout>
      </c:layout>
      <c:overlay val="0"/>
    </c:legend>
    <c:plotVisOnly val="1"/>
    <c:dispBlanksAs val="gap"/>
    <c:showDLblsOverMax val="0"/>
  </c:chart>
  <c:spPr>
    <a:solidFill>
      <a:srgbClr val="FFFFCC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89390</xdr:colOff>
      <xdr:row>25</xdr:row>
      <xdr:rowOff>21167</xdr:rowOff>
    </xdr:from>
    <xdr:to>
      <xdr:col>14</xdr:col>
      <xdr:colOff>102622</xdr:colOff>
      <xdr:row>88</xdr:row>
      <xdr:rowOff>10583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142950</xdr:colOff>
      <xdr:row>28</xdr:row>
      <xdr:rowOff>85496</xdr:rowOff>
    </xdr:from>
    <xdr:ext cx="623569" cy="264560"/>
    <xdr:sp macro="" textlink="">
      <xdr:nvSpPr>
        <xdr:cNvPr id="7" name="TextovéPole 6"/>
        <xdr:cNvSpPr txBox="1"/>
      </xdr:nvSpPr>
      <xdr:spPr>
        <a:xfrm>
          <a:off x="238200" y="2382079"/>
          <a:ext cx="62356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100" b="1">
              <a:solidFill>
                <a:srgbClr val="FF0000"/>
              </a:solidFill>
            </a:rPr>
            <a:t>K</a:t>
          </a:r>
          <a:r>
            <a:rPr lang="cs-CZ" sz="1100" b="1">
              <a:solidFill>
                <a:srgbClr val="FF0000"/>
              </a:solidFill>
            </a:rPr>
            <a:t>č/měs</a:t>
          </a:r>
        </a:p>
      </xdr:txBody>
    </xdr:sp>
    <xdr:clientData/>
  </xdr:oneCellAnchor>
  <xdr:oneCellAnchor>
    <xdr:from>
      <xdr:col>12</xdr:col>
      <xdr:colOff>605591</xdr:colOff>
      <xdr:row>27</xdr:row>
      <xdr:rowOff>55071</xdr:rowOff>
    </xdr:from>
    <xdr:ext cx="814262" cy="264560"/>
    <xdr:sp macro="" textlink="">
      <xdr:nvSpPr>
        <xdr:cNvPr id="8" name="TextovéPole 7"/>
        <xdr:cNvSpPr txBox="1"/>
      </xdr:nvSpPr>
      <xdr:spPr>
        <a:xfrm>
          <a:off x="9125174" y="2203488"/>
          <a:ext cx="81426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1100" b="1">
              <a:solidFill>
                <a:srgbClr val="FF0000"/>
              </a:solidFill>
            </a:rPr>
            <a:t>MWh/měs</a:t>
          </a:r>
        </a:p>
      </xdr:txBody>
    </xdr:sp>
    <xdr:clientData/>
  </xdr:oneCellAnchor>
  <xdr:twoCellAnchor>
    <xdr:from>
      <xdr:col>1</xdr:col>
      <xdr:colOff>1819274</xdr:colOff>
      <xdr:row>30</xdr:row>
      <xdr:rowOff>47625</xdr:rowOff>
    </xdr:from>
    <xdr:to>
      <xdr:col>6</xdr:col>
      <xdr:colOff>107157</xdr:colOff>
      <xdr:row>36</xdr:row>
      <xdr:rowOff>92869</xdr:rowOff>
    </xdr:to>
    <xdr:sp macro="" textlink="">
      <xdr:nvSpPr>
        <xdr:cNvPr id="2" name="Obláček 1"/>
        <xdr:cNvSpPr/>
      </xdr:nvSpPr>
      <xdr:spPr>
        <a:xfrm>
          <a:off x="1914524" y="2705100"/>
          <a:ext cx="2783683" cy="959644"/>
        </a:xfrm>
        <a:prstGeom prst="cloudCallout">
          <a:avLst>
            <a:gd name="adj1" fmla="val -57941"/>
            <a:gd name="adj2" fmla="val 115055"/>
          </a:avLst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cs-CZ" sz="1100">
              <a:solidFill>
                <a:srgbClr val="FF0000"/>
              </a:solidFill>
            </a:rPr>
            <a:t>skokový nárůst ceny silové, platíme spotové ceny, vládní strop 6000 Kč/MWh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0.33158</cdr:x>
      <cdr:y>0.32212</cdr:y>
    </cdr:from>
    <cdr:to>
      <cdr:x>0.47704</cdr:x>
      <cdr:y>0.39506</cdr:y>
    </cdr:to>
    <cdr:sp macro="" textlink="">
      <cdr:nvSpPr>
        <cdr:cNvPr id="3" name="Obdélníkový popisek 2"/>
        <cdr:cNvSpPr/>
      </cdr:nvSpPr>
      <cdr:spPr>
        <a:xfrm xmlns:a="http://schemas.openxmlformats.org/drawingml/2006/main">
          <a:off x="3238486" y="3089329"/>
          <a:ext cx="1420684" cy="699504"/>
        </a:xfrm>
        <a:prstGeom xmlns:a="http://schemas.openxmlformats.org/drawingml/2006/main" prst="wedgeRectCallout">
          <a:avLst>
            <a:gd name="adj1" fmla="val -86572"/>
            <a:gd name="adj2" fmla="val -3812"/>
          </a:avLst>
        </a:prstGeom>
        <a:solidFill xmlns:a="http://schemas.openxmlformats.org/drawingml/2006/main">
          <a:srgbClr val="FFFF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cs-CZ">
              <a:solidFill>
                <a:srgbClr val="FF0000"/>
              </a:solidFill>
            </a:rPr>
            <a:t>více než dvojnásobný nárůst</a:t>
          </a:r>
          <a:r>
            <a:rPr lang="cs-CZ" baseline="0">
              <a:solidFill>
                <a:srgbClr val="FF0000"/>
              </a:solidFill>
            </a:rPr>
            <a:t> ceny silové elektřiny</a:t>
          </a:r>
          <a:endParaRPr lang="cs-CZ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0.09395</cdr:x>
      <cdr:y>0.8252</cdr:y>
    </cdr:from>
    <cdr:to>
      <cdr:x>0.8831</cdr:x>
      <cdr:y>0.85131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916027" y="7694083"/>
          <a:ext cx="769408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b="1"/>
            <a:t>I</a:t>
          </a:r>
          <a:r>
            <a:rPr lang="cs-CZ" sz="1100" b="1" baseline="0"/>
            <a:t>                  II                    III                 IV                  V                  VI                  VII                 VIII               IX                   X                   XI                  XII                   </a:t>
          </a:r>
          <a:endParaRPr lang="cs-CZ" sz="1100" b="1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152398</xdr:colOff>
      <xdr:row>1</xdr:row>
      <xdr:rowOff>28574</xdr:rowOff>
    </xdr:from>
    <xdr:to>
      <xdr:col>20</xdr:col>
      <xdr:colOff>171449</xdr:colOff>
      <xdr:row>23</xdr:row>
      <xdr:rowOff>152400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17</xdr:col>
      <xdr:colOff>104775</xdr:colOff>
      <xdr:row>1</xdr:row>
      <xdr:rowOff>228600</xdr:rowOff>
    </xdr:from>
    <xdr:ext cx="765851" cy="264560"/>
    <xdr:sp macro="" textlink="">
      <xdr:nvSpPr>
        <xdr:cNvPr id="2" name="TextovéPole 1"/>
        <xdr:cNvSpPr txBox="1"/>
      </xdr:nvSpPr>
      <xdr:spPr>
        <a:xfrm>
          <a:off x="10096500" y="428625"/>
          <a:ext cx="76585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/>
            <a:t>MWh/rok</a:t>
          </a:r>
          <a:endParaRPr lang="cs-CZ" sz="1100" b="1"/>
        </a:p>
      </xdr:txBody>
    </xdr:sp>
    <xdr:clientData/>
  </xdr:oneCellAnchor>
  <xdr:twoCellAnchor>
    <xdr:from>
      <xdr:col>11</xdr:col>
      <xdr:colOff>590551</xdr:colOff>
      <xdr:row>1</xdr:row>
      <xdr:rowOff>314324</xdr:rowOff>
    </xdr:from>
    <xdr:to>
      <xdr:col>13</xdr:col>
      <xdr:colOff>314325</xdr:colOff>
      <xdr:row>2</xdr:row>
      <xdr:rowOff>142874</xdr:rowOff>
    </xdr:to>
    <xdr:sp macro="" textlink="">
      <xdr:nvSpPr>
        <xdr:cNvPr id="4" name="Obdélníkový popisek 3"/>
        <xdr:cNvSpPr/>
      </xdr:nvSpPr>
      <xdr:spPr>
        <a:xfrm>
          <a:off x="6924676" y="514349"/>
          <a:ext cx="942974" cy="447675"/>
        </a:xfrm>
        <a:prstGeom prst="wedgeRectCallout">
          <a:avLst>
            <a:gd name="adj1" fmla="val 31597"/>
            <a:gd name="adj2" fmla="val 152432"/>
          </a:avLst>
        </a:prstGeom>
        <a:noFill/>
        <a:ln w="12700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cs-CZ" sz="900">
              <a:solidFill>
                <a:srgbClr val="FF0000"/>
              </a:solidFill>
            </a:rPr>
            <a:t>čínský</a:t>
          </a:r>
          <a:r>
            <a:rPr lang="cs-CZ" sz="900" baseline="0">
              <a:solidFill>
                <a:srgbClr val="FF0000"/>
              </a:solidFill>
            </a:rPr>
            <a:t> vir</a:t>
          </a:r>
        </a:p>
        <a:p>
          <a:pPr algn="l"/>
          <a:r>
            <a:rPr lang="cs-CZ" sz="900" baseline="0">
              <a:solidFill>
                <a:srgbClr val="FF0000"/>
              </a:solidFill>
            </a:rPr>
            <a:t>dlouho zavřen o</a:t>
          </a:r>
          <a:endParaRPr lang="cs-CZ" sz="900">
            <a:solidFill>
              <a:srgbClr val="FF0000"/>
            </a:solidFill>
          </a:endParaRPr>
        </a:p>
      </xdr:txBody>
    </xdr:sp>
    <xdr:clientData/>
  </xdr:twoCellAnchor>
  <xdr:twoCellAnchor>
    <xdr:from>
      <xdr:col>12</xdr:col>
      <xdr:colOff>264584</xdr:colOff>
      <xdr:row>7</xdr:row>
      <xdr:rowOff>116416</xdr:rowOff>
    </xdr:from>
    <xdr:to>
      <xdr:col>14</xdr:col>
      <xdr:colOff>406399</xdr:colOff>
      <xdr:row>12</xdr:row>
      <xdr:rowOff>21166</xdr:rowOff>
    </xdr:to>
    <xdr:sp macro="" textlink="">
      <xdr:nvSpPr>
        <xdr:cNvPr id="5" name="Oválný popisek 4"/>
        <xdr:cNvSpPr/>
      </xdr:nvSpPr>
      <xdr:spPr>
        <a:xfrm>
          <a:off x="7260167" y="1894416"/>
          <a:ext cx="1369482" cy="867833"/>
        </a:xfrm>
        <a:prstGeom prst="wedgeEllipseCallout">
          <a:avLst>
            <a:gd name="adj1" fmla="val 80995"/>
            <a:gd name="adj2" fmla="val -11833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cs-CZ" sz="1100">
              <a:solidFill>
                <a:srgbClr val="FF0000"/>
              </a:solidFill>
            </a:rPr>
            <a:t>skokový nárůst ceny silové</a:t>
          </a:r>
        </a:p>
      </xdr:txBody>
    </xdr:sp>
    <xdr:clientData/>
  </xdr:twoCellAnchor>
  <xdr:oneCellAnchor>
    <xdr:from>
      <xdr:col>14</xdr:col>
      <xdr:colOff>342900</xdr:colOff>
      <xdr:row>12</xdr:row>
      <xdr:rowOff>47625</xdr:rowOff>
    </xdr:from>
    <xdr:ext cx="942975" cy="856388"/>
    <xdr:sp macro="" textlink="">
      <xdr:nvSpPr>
        <xdr:cNvPr id="7" name="Oválný popisek 6"/>
        <xdr:cNvSpPr/>
      </xdr:nvSpPr>
      <xdr:spPr>
        <a:xfrm>
          <a:off x="8505825" y="2781300"/>
          <a:ext cx="942975" cy="856388"/>
        </a:xfrm>
        <a:prstGeom prst="wedgeEllipseCallout">
          <a:avLst>
            <a:gd name="adj1" fmla="val 48454"/>
            <a:gd name="adj2" fmla="val -63074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lang="cs-CZ" sz="1100">
              <a:solidFill>
                <a:srgbClr val="FF0000"/>
              </a:solidFill>
            </a:rPr>
            <a:t>2023 spotové ceny</a:t>
          </a:r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0.53374</cdr:x>
      <cdr:y>0.0481</cdr:y>
    </cdr:from>
    <cdr:to>
      <cdr:x>0.64049</cdr:x>
      <cdr:y>0.13828</cdr:y>
    </cdr:to>
    <cdr:sp macro="" textlink="">
      <cdr:nvSpPr>
        <cdr:cNvPr id="2" name="Obdélníkový popisek 1"/>
        <cdr:cNvSpPr/>
      </cdr:nvSpPr>
      <cdr:spPr>
        <a:xfrm xmlns:a="http://schemas.openxmlformats.org/drawingml/2006/main">
          <a:off x="4143357" y="228618"/>
          <a:ext cx="828687" cy="428624"/>
        </a:xfrm>
        <a:prstGeom xmlns:a="http://schemas.openxmlformats.org/drawingml/2006/main" prst="wedgeRectCallout">
          <a:avLst>
            <a:gd name="adj1" fmla="val -13722"/>
            <a:gd name="adj2" fmla="val 120045"/>
          </a:avLst>
        </a:prstGeom>
        <a:noFill xmlns:a="http://schemas.openxmlformats.org/drawingml/2006/main"/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cs-CZ" sz="900">
              <a:solidFill>
                <a:srgbClr val="FF0000"/>
              </a:solidFill>
            </a:rPr>
            <a:t>čínský vir</a:t>
          </a:r>
        </a:p>
        <a:p xmlns:a="http://schemas.openxmlformats.org/drawingml/2006/main">
          <a:r>
            <a:rPr lang="cs-CZ" sz="900">
              <a:solidFill>
                <a:srgbClr val="FF0000"/>
              </a:solidFill>
            </a:rPr>
            <a:t>dost zavřeno 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72946</xdr:colOff>
      <xdr:row>29</xdr:row>
      <xdr:rowOff>99899</xdr:rowOff>
    </xdr:from>
    <xdr:to>
      <xdr:col>14</xdr:col>
      <xdr:colOff>3968</xdr:colOff>
      <xdr:row>69</xdr:row>
      <xdr:rowOff>47058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34584</xdr:colOff>
      <xdr:row>30</xdr:row>
      <xdr:rowOff>20787</xdr:rowOff>
    </xdr:from>
    <xdr:ext cx="610103" cy="264560"/>
    <xdr:sp macro="" textlink="">
      <xdr:nvSpPr>
        <xdr:cNvPr id="3" name="TextovéPole 2"/>
        <xdr:cNvSpPr txBox="1"/>
      </xdr:nvSpPr>
      <xdr:spPr>
        <a:xfrm>
          <a:off x="129834" y="3033068"/>
          <a:ext cx="6101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100" b="0">
              <a:solidFill>
                <a:srgbClr val="FF0000"/>
              </a:solidFill>
            </a:rPr>
            <a:t>K</a:t>
          </a:r>
          <a:r>
            <a:rPr lang="cs-CZ" sz="1100" b="0">
              <a:solidFill>
                <a:srgbClr val="FF0000"/>
              </a:solidFill>
            </a:rPr>
            <a:t>č/měs</a:t>
          </a:r>
        </a:p>
      </xdr:txBody>
    </xdr:sp>
    <xdr:clientData/>
  </xdr:oneCellAnchor>
  <xdr:oneCellAnchor>
    <xdr:from>
      <xdr:col>12</xdr:col>
      <xdr:colOff>440717</xdr:colOff>
      <xdr:row>31</xdr:row>
      <xdr:rowOff>48569</xdr:rowOff>
    </xdr:from>
    <xdr:ext cx="797398" cy="264560"/>
    <xdr:sp macro="" textlink="">
      <xdr:nvSpPr>
        <xdr:cNvPr id="4" name="TextovéPole 3"/>
        <xdr:cNvSpPr txBox="1"/>
      </xdr:nvSpPr>
      <xdr:spPr>
        <a:xfrm>
          <a:off x="8953686" y="3215632"/>
          <a:ext cx="79739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1100">
              <a:solidFill>
                <a:srgbClr val="FF0000"/>
              </a:solidFill>
            </a:rPr>
            <a:t>MWh/měs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U132"/>
  <sheetViews>
    <sheetView workbookViewId="0">
      <pane ySplit="2" topLeftCell="A76" activePane="bottomLeft" state="frozen"/>
      <selection pane="bottomLeft" activeCell="P114" sqref="P114"/>
    </sheetView>
  </sheetViews>
  <sheetFormatPr defaultRowHeight="12" x14ac:dyDescent="0.2"/>
  <cols>
    <col min="1" max="1" width="3.85546875" style="1" customWidth="1"/>
    <col min="2" max="2" width="10.42578125" style="1" customWidth="1"/>
    <col min="3" max="3" width="9.85546875" style="2" bestFit="1" customWidth="1"/>
    <col min="4" max="4" width="9.5703125" style="2" customWidth="1"/>
    <col min="5" max="5" width="9.140625" style="2" customWidth="1"/>
    <col min="6" max="6" width="7.85546875" style="2" customWidth="1"/>
    <col min="7" max="7" width="9.140625" style="2" customWidth="1"/>
    <col min="8" max="8" width="9.7109375" style="2" customWidth="1"/>
    <col min="9" max="9" width="8.42578125" style="2" customWidth="1"/>
    <col min="10" max="10" width="8.85546875" style="2" customWidth="1"/>
    <col min="11" max="11" width="6.85546875" style="2" customWidth="1"/>
    <col min="12" max="12" width="9.5703125" style="2" customWidth="1"/>
    <col min="13" max="13" width="9.28515625" style="6" customWidth="1"/>
    <col min="14" max="14" width="7.85546875" style="6" customWidth="1"/>
    <col min="15" max="15" width="9.140625" style="2"/>
    <col min="16" max="16" width="9.7109375" style="2" customWidth="1"/>
    <col min="17" max="17" width="10.7109375" style="2" customWidth="1"/>
    <col min="18" max="18" width="10.42578125" style="2" customWidth="1"/>
    <col min="19" max="21" width="9.140625" style="2"/>
    <col min="22" max="16384" width="9.140625" style="1"/>
  </cols>
  <sheetData>
    <row r="1" spans="2:19" ht="6" customHeight="1" thickBot="1" x14ac:dyDescent="0.25"/>
    <row r="2" spans="2:19" ht="48.75" thickBot="1" x14ac:dyDescent="0.25">
      <c r="B2" s="174" t="s">
        <v>14</v>
      </c>
      <c r="C2" s="175" t="s">
        <v>118</v>
      </c>
      <c r="D2" s="175" t="s">
        <v>90</v>
      </c>
      <c r="E2" s="175" t="s">
        <v>91</v>
      </c>
      <c r="F2" s="175" t="s">
        <v>15</v>
      </c>
      <c r="G2" s="175" t="s">
        <v>88</v>
      </c>
      <c r="H2" s="175" t="s">
        <v>160</v>
      </c>
      <c r="I2" s="175" t="s">
        <v>16</v>
      </c>
      <c r="J2" s="175" t="s">
        <v>17</v>
      </c>
      <c r="K2" s="176" t="s">
        <v>100</v>
      </c>
      <c r="L2" s="175" t="s">
        <v>81</v>
      </c>
      <c r="M2" s="177" t="s">
        <v>89</v>
      </c>
      <c r="P2" s="44" t="s">
        <v>65</v>
      </c>
      <c r="Q2" s="44" t="s">
        <v>66</v>
      </c>
    </row>
    <row r="3" spans="2:19" s="3" customFormat="1" x14ac:dyDescent="0.2">
      <c r="B3" s="49" t="s">
        <v>0</v>
      </c>
      <c r="C3" s="50">
        <v>31717</v>
      </c>
      <c r="D3" s="50">
        <v>42737.32</v>
      </c>
      <c r="E3" s="51">
        <f>SUM(C3:D3)</f>
        <v>74454.320000000007</v>
      </c>
      <c r="F3" s="52">
        <f t="shared" ref="F3:F12" si="0">D3/E3</f>
        <v>0.57400725706715194</v>
      </c>
      <c r="G3" s="53">
        <v>6.0759999999999996</v>
      </c>
      <c r="H3" s="54">
        <v>26.08</v>
      </c>
      <c r="I3" s="55">
        <f t="shared" ref="I3:I81" si="1">G3+H3</f>
        <v>32.155999999999999</v>
      </c>
      <c r="J3" s="52">
        <f t="shared" ref="J3:J81" si="2">H3/I3</f>
        <v>0.81104615001865898</v>
      </c>
      <c r="K3" s="73">
        <f t="shared" ref="K3:K81" si="3">E3/(I3*1000)</f>
        <v>2.3154098768503548</v>
      </c>
      <c r="L3" s="39">
        <f t="shared" ref="L3:L11" si="4">I3*1000/31</f>
        <v>1037.2903225806451</v>
      </c>
      <c r="M3" s="77">
        <f>L3*K3</f>
        <v>2401.7522580645164</v>
      </c>
      <c r="N3" s="6"/>
      <c r="O3" s="69" t="s">
        <v>61</v>
      </c>
      <c r="P3" s="70">
        <v>1155</v>
      </c>
      <c r="Q3" s="70">
        <v>736</v>
      </c>
    </row>
    <row r="4" spans="2:19" s="4" customFormat="1" x14ac:dyDescent="0.2">
      <c r="B4" s="56" t="s">
        <v>1</v>
      </c>
      <c r="C4" s="57">
        <v>29649.85</v>
      </c>
      <c r="D4" s="57">
        <v>47460.35</v>
      </c>
      <c r="E4" s="58">
        <f>SUM(C4:D4)</f>
        <v>77110.2</v>
      </c>
      <c r="F4" s="59">
        <f t="shared" si="0"/>
        <v>0.61548731555617808</v>
      </c>
      <c r="G4" s="60">
        <v>7.36</v>
      </c>
      <c r="H4" s="61">
        <v>27.518999999999998</v>
      </c>
      <c r="I4" s="62">
        <f t="shared" si="1"/>
        <v>34.878999999999998</v>
      </c>
      <c r="J4" s="59">
        <f t="shared" si="2"/>
        <v>0.7889847759396772</v>
      </c>
      <c r="K4" s="74">
        <f t="shared" si="3"/>
        <v>2.2107915937956935</v>
      </c>
      <c r="L4" s="57">
        <f t="shared" si="4"/>
        <v>1125.1290322580646</v>
      </c>
      <c r="M4" s="78">
        <f t="shared" ref="M4:M7" si="5">L4*K4</f>
        <v>2487.425806451613</v>
      </c>
      <c r="O4" s="69" t="s">
        <v>62</v>
      </c>
      <c r="P4" s="71">
        <v>985</v>
      </c>
      <c r="Q4" s="71">
        <v>627</v>
      </c>
      <c r="R4" s="46"/>
    </row>
    <row r="5" spans="2:19" s="4" customFormat="1" x14ac:dyDescent="0.2">
      <c r="B5" s="56" t="s">
        <v>40</v>
      </c>
      <c r="C5" s="57">
        <v>36318.629999999997</v>
      </c>
      <c r="D5" s="57">
        <f t="shared" ref="D5:D11" si="6">E5-C5</f>
        <v>59086.860000000008</v>
      </c>
      <c r="E5" s="58">
        <v>95405.49</v>
      </c>
      <c r="F5" s="59">
        <f t="shared" si="0"/>
        <v>0.61932347918343067</v>
      </c>
      <c r="G5" s="60">
        <v>8.93</v>
      </c>
      <c r="H5" s="61">
        <v>36.857999999999997</v>
      </c>
      <c r="I5" s="62">
        <f t="shared" si="1"/>
        <v>45.787999999999997</v>
      </c>
      <c r="J5" s="59">
        <f t="shared" si="2"/>
        <v>0.80497073469031188</v>
      </c>
      <c r="K5" s="74">
        <f t="shared" si="3"/>
        <v>2.0836352319384992</v>
      </c>
      <c r="L5" s="57">
        <f t="shared" si="4"/>
        <v>1477.0322580645161</v>
      </c>
      <c r="M5" s="78">
        <f t="shared" si="5"/>
        <v>3077.5964516129034</v>
      </c>
      <c r="O5" s="72" t="s">
        <v>63</v>
      </c>
      <c r="P5" s="201">
        <v>926</v>
      </c>
      <c r="Q5" s="201">
        <v>590</v>
      </c>
      <c r="R5" s="46"/>
    </row>
    <row r="6" spans="2:19" s="4" customFormat="1" x14ac:dyDescent="0.2">
      <c r="B6" s="56" t="s">
        <v>50</v>
      </c>
      <c r="C6" s="57">
        <v>30715</v>
      </c>
      <c r="D6" s="57">
        <f t="shared" si="6"/>
        <v>40614.070000000007</v>
      </c>
      <c r="E6" s="58">
        <v>71329.070000000007</v>
      </c>
      <c r="F6" s="59">
        <f t="shared" si="0"/>
        <v>0.56939015186935704</v>
      </c>
      <c r="G6" s="60">
        <v>4.6310000000000002</v>
      </c>
      <c r="H6" s="61">
        <v>26.395</v>
      </c>
      <c r="I6" s="62">
        <f t="shared" si="1"/>
        <v>31.026</v>
      </c>
      <c r="J6" s="59">
        <f t="shared" si="2"/>
        <v>0.85073809063366213</v>
      </c>
      <c r="K6" s="74">
        <f t="shared" si="3"/>
        <v>2.2990095403854833</v>
      </c>
      <c r="L6" s="57">
        <f t="shared" si="4"/>
        <v>1000.8387096774194</v>
      </c>
      <c r="M6" s="78">
        <f t="shared" si="5"/>
        <v>2300.9377419354842</v>
      </c>
      <c r="O6" s="121" t="s">
        <v>64</v>
      </c>
      <c r="P6" s="8">
        <v>1184</v>
      </c>
      <c r="Q6" s="8">
        <v>754</v>
      </c>
      <c r="R6" s="46"/>
    </row>
    <row r="7" spans="2:19" s="118" customFormat="1" x14ac:dyDescent="0.2">
      <c r="B7" s="129" t="s">
        <v>68</v>
      </c>
      <c r="C7" s="130">
        <v>45933.18</v>
      </c>
      <c r="D7" s="130">
        <f t="shared" si="6"/>
        <v>54601.82</v>
      </c>
      <c r="E7" s="131">
        <v>100535</v>
      </c>
      <c r="F7" s="132">
        <f t="shared" si="0"/>
        <v>0.5431125478689014</v>
      </c>
      <c r="G7" s="133">
        <v>5.5880000000000001</v>
      </c>
      <c r="H7" s="134">
        <v>31.657</v>
      </c>
      <c r="I7" s="135">
        <f t="shared" si="1"/>
        <v>37.244999999999997</v>
      </c>
      <c r="J7" s="132">
        <f t="shared" si="2"/>
        <v>0.84996643844811393</v>
      </c>
      <c r="K7" s="136">
        <f t="shared" si="3"/>
        <v>2.6992884951000136</v>
      </c>
      <c r="L7" s="130">
        <f t="shared" si="4"/>
        <v>1201.4516129032259</v>
      </c>
      <c r="M7" s="137">
        <f t="shared" si="5"/>
        <v>3243.0645161290327</v>
      </c>
      <c r="O7" s="8" t="s">
        <v>67</v>
      </c>
      <c r="P7" s="8">
        <v>1743</v>
      </c>
      <c r="Q7" s="8">
        <v>1110</v>
      </c>
      <c r="R7" s="123"/>
    </row>
    <row r="8" spans="2:19" s="118" customFormat="1" x14ac:dyDescent="0.2">
      <c r="B8" s="129" t="s">
        <v>124</v>
      </c>
      <c r="C8" s="130">
        <v>51621.21</v>
      </c>
      <c r="D8" s="130">
        <f t="shared" si="6"/>
        <v>35794.18</v>
      </c>
      <c r="E8" s="131">
        <v>87415.39</v>
      </c>
      <c r="F8" s="132">
        <f t="shared" si="0"/>
        <v>0.40947229086319925</v>
      </c>
      <c r="G8" s="133">
        <v>3.2879999999999998</v>
      </c>
      <c r="H8" s="134">
        <v>28.818000000000001</v>
      </c>
      <c r="I8" s="135">
        <f t="shared" si="1"/>
        <v>32.106000000000002</v>
      </c>
      <c r="J8" s="132">
        <f t="shared" si="2"/>
        <v>0.89758923565688653</v>
      </c>
      <c r="K8" s="136">
        <f t="shared" si="3"/>
        <v>2.7227119541518721</v>
      </c>
      <c r="L8" s="130">
        <f t="shared" si="4"/>
        <v>1035.6774193548388</v>
      </c>
      <c r="M8" s="137">
        <f>E8/31</f>
        <v>2819.8512903225806</v>
      </c>
      <c r="O8" s="193" t="s">
        <v>117</v>
      </c>
      <c r="P8" s="32">
        <v>1564</v>
      </c>
      <c r="Q8" s="32">
        <v>1302</v>
      </c>
      <c r="R8" s="123"/>
    </row>
    <row r="9" spans="2:19" s="118" customFormat="1" x14ac:dyDescent="0.2">
      <c r="B9" s="56" t="s">
        <v>142</v>
      </c>
      <c r="C9" s="57">
        <v>39968.57</v>
      </c>
      <c r="D9" s="57">
        <f t="shared" si="6"/>
        <v>35206.43</v>
      </c>
      <c r="E9" s="58">
        <v>75175</v>
      </c>
      <c r="F9" s="59">
        <f t="shared" si="0"/>
        <v>0.46832630528766211</v>
      </c>
      <c r="G9" s="60">
        <v>2.3460000000000001</v>
      </c>
      <c r="H9" s="61">
        <v>26.568000000000001</v>
      </c>
      <c r="I9" s="62">
        <f t="shared" si="1"/>
        <v>28.914000000000001</v>
      </c>
      <c r="J9" s="59">
        <f t="shared" si="2"/>
        <v>0.91886283461299023</v>
      </c>
      <c r="K9" s="74">
        <f t="shared" si="3"/>
        <v>2.5999515805492148</v>
      </c>
      <c r="L9" s="57">
        <f t="shared" si="4"/>
        <v>932.70967741935488</v>
      </c>
      <c r="M9" s="78">
        <f>E9/31</f>
        <v>2425</v>
      </c>
      <c r="O9" s="32" t="s">
        <v>140</v>
      </c>
      <c r="P9" s="32">
        <v>1351</v>
      </c>
      <c r="Q9" s="32">
        <v>1124</v>
      </c>
      <c r="R9" s="123"/>
    </row>
    <row r="10" spans="2:19" s="118" customFormat="1" x14ac:dyDescent="0.2">
      <c r="B10" s="298" t="s">
        <v>161</v>
      </c>
      <c r="C10" s="299">
        <v>85608.78</v>
      </c>
      <c r="D10" s="299">
        <f t="shared" si="6"/>
        <v>59085.51999999999</v>
      </c>
      <c r="E10" s="300">
        <v>144694.29999999999</v>
      </c>
      <c r="F10" s="301">
        <f t="shared" si="0"/>
        <v>0.4083472534854517</v>
      </c>
      <c r="G10" s="302">
        <v>5.1920000000000002</v>
      </c>
      <c r="H10" s="303">
        <v>27.123000000000001</v>
      </c>
      <c r="I10" s="304">
        <f t="shared" si="1"/>
        <v>32.314999999999998</v>
      </c>
      <c r="J10" s="301">
        <f t="shared" si="2"/>
        <v>0.83933157976172068</v>
      </c>
      <c r="K10" s="305">
        <f t="shared" si="3"/>
        <v>4.4776203001701997</v>
      </c>
      <c r="L10" s="299">
        <f t="shared" si="4"/>
        <v>1042.4193548387095</v>
      </c>
      <c r="M10" s="306">
        <f>E10/31</f>
        <v>4667.558064516129</v>
      </c>
      <c r="O10" s="32" t="s">
        <v>157</v>
      </c>
      <c r="P10" s="288">
        <v>3813.66</v>
      </c>
      <c r="Q10" s="288">
        <v>2426.29</v>
      </c>
      <c r="R10" s="32" t="s">
        <v>159</v>
      </c>
    </row>
    <row r="11" spans="2:19" s="118" customFormat="1" ht="12.75" thickBot="1" x14ac:dyDescent="0.25">
      <c r="B11" s="289" t="s">
        <v>176</v>
      </c>
      <c r="C11" s="290">
        <v>99517.88</v>
      </c>
      <c r="D11" s="290">
        <f t="shared" si="6"/>
        <v>42627.169999999984</v>
      </c>
      <c r="E11" s="291">
        <v>142145.04999999999</v>
      </c>
      <c r="F11" s="342">
        <f t="shared" si="0"/>
        <v>0.29988501182418936</v>
      </c>
      <c r="G11" s="293">
        <v>3.2050000000000001</v>
      </c>
      <c r="H11" s="294">
        <v>23.768999999999998</v>
      </c>
      <c r="I11" s="295">
        <f t="shared" si="1"/>
        <v>26.973999999999997</v>
      </c>
      <c r="J11" s="292">
        <f t="shared" si="2"/>
        <v>0.88118187884629651</v>
      </c>
      <c r="K11" s="296">
        <f t="shared" si="3"/>
        <v>5.2697060131978946</v>
      </c>
      <c r="L11" s="290">
        <f t="shared" si="4"/>
        <v>870.1290322580644</v>
      </c>
      <c r="M11" s="297">
        <f>E11/31</f>
        <v>4585.3241935483866</v>
      </c>
      <c r="O11" s="307" t="s">
        <v>175</v>
      </c>
      <c r="P11" s="254">
        <v>6000</v>
      </c>
      <c r="Q11" s="254">
        <v>6050</v>
      </c>
      <c r="R11" s="287" t="s">
        <v>194</v>
      </c>
      <c r="S11" s="4"/>
    </row>
    <row r="12" spans="2:19" s="3" customFormat="1" ht="12.75" thickTop="1" x14ac:dyDescent="0.2">
      <c r="B12" s="63" t="s">
        <v>101</v>
      </c>
      <c r="C12" s="64">
        <v>29999.35</v>
      </c>
      <c r="D12" s="64">
        <f>40748.58+1040.58</f>
        <v>41789.160000000003</v>
      </c>
      <c r="E12" s="65">
        <f t="shared" ref="E12:E22" si="7">SUM(C12:D12)</f>
        <v>71788.510000000009</v>
      </c>
      <c r="F12" s="66">
        <f t="shared" si="0"/>
        <v>0.58211488161545621</v>
      </c>
      <c r="G12" s="67">
        <v>5.7859999999999996</v>
      </c>
      <c r="H12" s="67">
        <v>24.606000000000002</v>
      </c>
      <c r="I12" s="68">
        <f t="shared" si="1"/>
        <v>30.392000000000003</v>
      </c>
      <c r="J12" s="66">
        <f t="shared" si="2"/>
        <v>0.80962095288233749</v>
      </c>
      <c r="K12" s="75">
        <f t="shared" si="3"/>
        <v>2.3620857462490128</v>
      </c>
      <c r="L12" s="40">
        <f>I12/28*1000</f>
        <v>1085.4285714285716</v>
      </c>
      <c r="M12" s="79">
        <f>L12*K12</f>
        <v>2563.8753571428574</v>
      </c>
      <c r="N12" s="6"/>
      <c r="O12" s="4"/>
      <c r="P12" s="4"/>
      <c r="Q12" s="4"/>
      <c r="R12" s="117" t="s">
        <v>195</v>
      </c>
    </row>
    <row r="13" spans="2:19" s="4" customFormat="1" x14ac:dyDescent="0.2">
      <c r="B13" s="56" t="s">
        <v>102</v>
      </c>
      <c r="C13" s="57">
        <v>21769.05</v>
      </c>
      <c r="D13" s="57">
        <v>35623.86</v>
      </c>
      <c r="E13" s="58">
        <f t="shared" si="7"/>
        <v>57392.91</v>
      </c>
      <c r="F13" s="59">
        <f t="shared" ref="F13:F20" si="8">D13/E13</f>
        <v>0.62070140719472144</v>
      </c>
      <c r="G13" s="61">
        <f>4.874+0.187</f>
        <v>5.0609999999999999</v>
      </c>
      <c r="H13" s="61">
        <f>1.467+19.276</f>
        <v>20.742999999999999</v>
      </c>
      <c r="I13" s="62">
        <f t="shared" si="1"/>
        <v>25.803999999999998</v>
      </c>
      <c r="J13" s="59">
        <f t="shared" si="2"/>
        <v>0.8038676174236552</v>
      </c>
      <c r="K13" s="74">
        <f t="shared" si="3"/>
        <v>2.2241865602232211</v>
      </c>
      <c r="L13" s="57">
        <f>I13/29*1000</f>
        <v>889.79310344827582</v>
      </c>
      <c r="M13" s="78">
        <f t="shared" ref="M13:M15" si="9">L13*K13</f>
        <v>1979.0658620689653</v>
      </c>
      <c r="P13" s="247"/>
      <c r="Q13" s="247"/>
      <c r="R13" s="46"/>
    </row>
    <row r="14" spans="2:19" s="4" customFormat="1" x14ac:dyDescent="0.2">
      <c r="B14" s="56" t="s">
        <v>103</v>
      </c>
      <c r="C14" s="57">
        <v>25634.75</v>
      </c>
      <c r="D14" s="57">
        <f t="shared" ref="D14:D20" si="10">E14-C14</f>
        <v>43179.45</v>
      </c>
      <c r="E14" s="58">
        <v>68814.2</v>
      </c>
      <c r="F14" s="59">
        <f t="shared" si="8"/>
        <v>0.62747877618282266</v>
      </c>
      <c r="G14" s="60">
        <v>5.7350000000000003</v>
      </c>
      <c r="H14" s="61">
        <v>26.907</v>
      </c>
      <c r="I14" s="62">
        <f t="shared" si="1"/>
        <v>32.642000000000003</v>
      </c>
      <c r="J14" s="59">
        <f t="shared" si="2"/>
        <v>0.82430610869432008</v>
      </c>
      <c r="K14" s="74">
        <f t="shared" si="3"/>
        <v>2.1081490104772991</v>
      </c>
      <c r="L14" s="57">
        <f>I14/28*1000</f>
        <v>1165.7857142857144</v>
      </c>
      <c r="M14" s="78">
        <f t="shared" si="9"/>
        <v>2457.65</v>
      </c>
    </row>
    <row r="15" spans="2:19" s="4" customFormat="1" x14ac:dyDescent="0.2">
      <c r="B15" s="56" t="s">
        <v>104</v>
      </c>
      <c r="C15" s="57">
        <v>34880</v>
      </c>
      <c r="D15" s="57">
        <f t="shared" si="10"/>
        <v>46524.34</v>
      </c>
      <c r="E15" s="58">
        <v>81404.34</v>
      </c>
      <c r="F15" s="59">
        <f t="shared" si="8"/>
        <v>0.57152161666073331</v>
      </c>
      <c r="G15" s="60">
        <v>5.9450000000000003</v>
      </c>
      <c r="H15" s="61">
        <v>28.896000000000001</v>
      </c>
      <c r="I15" s="62">
        <f t="shared" si="1"/>
        <v>34.841000000000001</v>
      </c>
      <c r="J15" s="59">
        <f t="shared" si="2"/>
        <v>0.82936769897534512</v>
      </c>
      <c r="K15" s="74">
        <f t="shared" si="3"/>
        <v>2.3364524554404293</v>
      </c>
      <c r="L15" s="57">
        <f>I15/28*1000</f>
        <v>1244.3214285714287</v>
      </c>
      <c r="M15" s="78">
        <f t="shared" si="9"/>
        <v>2907.2978571428575</v>
      </c>
      <c r="O15" s="120"/>
      <c r="P15" s="120"/>
      <c r="Q15" s="120"/>
    </row>
    <row r="16" spans="2:19" s="120" customFormat="1" x14ac:dyDescent="0.2">
      <c r="B16" s="129" t="s">
        <v>69</v>
      </c>
      <c r="C16" s="130">
        <v>36965.800000000003</v>
      </c>
      <c r="D16" s="130">
        <f t="shared" si="10"/>
        <v>46902.2</v>
      </c>
      <c r="E16" s="131">
        <v>83868</v>
      </c>
      <c r="F16" s="132">
        <f t="shared" si="8"/>
        <v>0.55923832689464392</v>
      </c>
      <c r="G16" s="133">
        <v>4.3780000000000001</v>
      </c>
      <c r="H16" s="134">
        <v>25.661999999999999</v>
      </c>
      <c r="I16" s="135">
        <f t="shared" si="1"/>
        <v>30.04</v>
      </c>
      <c r="J16" s="132">
        <f t="shared" si="2"/>
        <v>0.85426098535286288</v>
      </c>
      <c r="K16" s="136">
        <f t="shared" si="3"/>
        <v>2.7918774966711051</v>
      </c>
      <c r="L16" s="130">
        <f>I16/28*1000</f>
        <v>1072.8571428571427</v>
      </c>
      <c r="M16" s="137">
        <f t="shared" ref="M16:M18" si="11">L16*K16</f>
        <v>2995.2857142857138</v>
      </c>
      <c r="O16" s="121"/>
      <c r="P16" s="122" t="s">
        <v>65</v>
      </c>
      <c r="Q16" s="122" t="s">
        <v>66</v>
      </c>
    </row>
    <row r="17" spans="2:19" s="120" customFormat="1" x14ac:dyDescent="0.2">
      <c r="B17" s="129" t="s">
        <v>126</v>
      </c>
      <c r="C17" s="130">
        <v>47861.31</v>
      </c>
      <c r="D17" s="130">
        <f t="shared" si="10"/>
        <v>36445.69</v>
      </c>
      <c r="E17" s="131">
        <v>84307</v>
      </c>
      <c r="F17" s="132">
        <f t="shared" si="8"/>
        <v>0.43229731813491173</v>
      </c>
      <c r="G17" s="133">
        <v>3.9359999999999999</v>
      </c>
      <c r="H17" s="134">
        <v>25.652000000000001</v>
      </c>
      <c r="I17" s="135">
        <f t="shared" si="1"/>
        <v>29.588000000000001</v>
      </c>
      <c r="J17" s="132">
        <f t="shared" si="2"/>
        <v>0.86697309720156823</v>
      </c>
      <c r="K17" s="136">
        <f t="shared" si="3"/>
        <v>2.8493646072732188</v>
      </c>
      <c r="L17" s="130">
        <f>I17/29*1000</f>
        <v>1020.2758620689656</v>
      </c>
      <c r="M17" s="137">
        <f t="shared" si="11"/>
        <v>2907.1379310344828</v>
      </c>
      <c r="O17" s="121"/>
      <c r="P17" s="122"/>
      <c r="Q17" s="122"/>
    </row>
    <row r="18" spans="2:19" s="120" customFormat="1" x14ac:dyDescent="0.2">
      <c r="B18" s="56" t="s">
        <v>143</v>
      </c>
      <c r="C18" s="57">
        <v>38410.97</v>
      </c>
      <c r="D18" s="57">
        <f t="shared" si="10"/>
        <v>33257.03</v>
      </c>
      <c r="E18" s="58">
        <v>71668</v>
      </c>
      <c r="F18" s="59">
        <f t="shared" si="8"/>
        <v>0.46404294803817603</v>
      </c>
      <c r="G18" s="60">
        <v>1.8</v>
      </c>
      <c r="H18" s="61">
        <v>26.079000000000001</v>
      </c>
      <c r="I18" s="62">
        <f t="shared" si="1"/>
        <v>27.879000000000001</v>
      </c>
      <c r="J18" s="59">
        <f t="shared" si="2"/>
        <v>0.93543527386204672</v>
      </c>
      <c r="K18" s="74">
        <f t="shared" si="3"/>
        <v>2.5706804404749093</v>
      </c>
      <c r="L18" s="57">
        <f>I18/28*1000</f>
        <v>995.67857142857156</v>
      </c>
      <c r="M18" s="78">
        <f t="shared" si="11"/>
        <v>2559.5714285714289</v>
      </c>
      <c r="O18" s="69" t="s">
        <v>61</v>
      </c>
      <c r="P18" s="70">
        <v>1155</v>
      </c>
      <c r="Q18" s="70">
        <v>736</v>
      </c>
      <c r="R18" s="248"/>
      <c r="S18" s="248"/>
    </row>
    <row r="19" spans="2:19" s="120" customFormat="1" x14ac:dyDescent="0.2">
      <c r="B19" s="56" t="s">
        <v>162</v>
      </c>
      <c r="C19" s="57">
        <v>76626.62</v>
      </c>
      <c r="D19" s="57">
        <v>55473.760000000009</v>
      </c>
      <c r="E19" s="58">
        <v>132100.38</v>
      </c>
      <c r="F19" s="59">
        <v>0.41993641502015366</v>
      </c>
      <c r="G19" s="60">
        <v>5.0140000000000002</v>
      </c>
      <c r="H19" s="61">
        <v>23.702000000000002</v>
      </c>
      <c r="I19" s="62">
        <v>28.716000000000001</v>
      </c>
      <c r="J19" s="59">
        <v>0.8253935088452431</v>
      </c>
      <c r="K19" s="74">
        <v>4.6002361053071459</v>
      </c>
      <c r="L19" s="57">
        <v>1025.5714285714287</v>
      </c>
      <c r="M19" s="78">
        <v>4717.8707142857147</v>
      </c>
      <c r="O19" s="69" t="s">
        <v>62</v>
      </c>
      <c r="P19" s="71">
        <v>985</v>
      </c>
      <c r="Q19" s="71">
        <v>627</v>
      </c>
      <c r="R19" s="46"/>
      <c r="S19" s="4"/>
    </row>
    <row r="20" spans="2:19" s="120" customFormat="1" ht="12.75" thickBot="1" x14ac:dyDescent="0.25">
      <c r="B20" s="289" t="s">
        <v>177</v>
      </c>
      <c r="C20" s="290">
        <v>100972.92</v>
      </c>
      <c r="D20" s="290">
        <f t="shared" si="10"/>
        <v>42450.030000000013</v>
      </c>
      <c r="E20" s="291">
        <v>143422.95000000001</v>
      </c>
      <c r="F20" s="292">
        <f t="shared" si="8"/>
        <v>0.29597794495232466</v>
      </c>
      <c r="G20" s="293">
        <v>2.83</v>
      </c>
      <c r="H20" s="294">
        <v>24.722999999999999</v>
      </c>
      <c r="I20" s="295">
        <f t="shared" si="1"/>
        <v>27.552999999999997</v>
      </c>
      <c r="J20" s="292">
        <f t="shared" ref="J20" si="12">H20/I20</f>
        <v>0.89728886146699094</v>
      </c>
      <c r="K20" s="296">
        <f t="shared" ref="K20" si="13">E20/(I20*1000)</f>
        <v>5.2053478750045379</v>
      </c>
      <c r="L20" s="290">
        <f>I20/28*1000</f>
        <v>984.03571428571422</v>
      </c>
      <c r="M20" s="297">
        <f t="shared" ref="M20" si="14">L20*K20</f>
        <v>5122.2482142857152</v>
      </c>
      <c r="O20" s="72" t="s">
        <v>63</v>
      </c>
      <c r="P20" s="201">
        <v>926</v>
      </c>
      <c r="Q20" s="201">
        <v>590</v>
      </c>
      <c r="R20" s="46"/>
      <c r="S20" s="4"/>
    </row>
    <row r="21" spans="2:19" s="4" customFormat="1" ht="12.75" thickTop="1" x14ac:dyDescent="0.2">
      <c r="B21" s="63" t="s">
        <v>105</v>
      </c>
      <c r="C21" s="64">
        <v>27969.61</v>
      </c>
      <c r="D21" s="64">
        <f>37431.36+982</f>
        <v>38413.360000000001</v>
      </c>
      <c r="E21" s="65">
        <f t="shared" si="7"/>
        <v>66382.97</v>
      </c>
      <c r="F21" s="66">
        <f t="shared" ref="F21:F114" si="15">D21/E21</f>
        <v>0.57866287091403112</v>
      </c>
      <c r="G21" s="67">
        <v>4.9749999999999996</v>
      </c>
      <c r="H21" s="67">
        <v>23.882000000000001</v>
      </c>
      <c r="I21" s="68">
        <f t="shared" si="1"/>
        <v>28.856999999999999</v>
      </c>
      <c r="J21" s="66">
        <f t="shared" si="2"/>
        <v>0.82759815642651702</v>
      </c>
      <c r="K21" s="75">
        <f t="shared" si="3"/>
        <v>2.3004113386699934</v>
      </c>
      <c r="L21" s="57">
        <f t="shared" ref="L21:L27" si="16">I21*1000/31</f>
        <v>930.87096774193549</v>
      </c>
      <c r="M21" s="78">
        <f>L21*K21</f>
        <v>2141.3861290322579</v>
      </c>
      <c r="O21" s="121" t="s">
        <v>64</v>
      </c>
      <c r="P21" s="8">
        <v>1184</v>
      </c>
      <c r="Q21" s="8">
        <v>754</v>
      </c>
      <c r="R21" s="46"/>
    </row>
    <row r="22" spans="2:19" s="4" customFormat="1" x14ac:dyDescent="0.2">
      <c r="B22" s="56" t="s">
        <v>106</v>
      </c>
      <c r="C22" s="57">
        <v>21645.27</v>
      </c>
      <c r="D22" s="57">
        <v>35556.980000000003</v>
      </c>
      <c r="E22" s="58">
        <f t="shared" si="7"/>
        <v>57202.25</v>
      </c>
      <c r="F22" s="59">
        <f t="shared" ref="F22:F29" si="17">D22/E22</f>
        <v>0.62160107338435122</v>
      </c>
      <c r="G22" s="61">
        <v>5.101</v>
      </c>
      <c r="H22" s="61">
        <v>20.516999999999999</v>
      </c>
      <c r="I22" s="62">
        <f t="shared" si="1"/>
        <v>25.617999999999999</v>
      </c>
      <c r="J22" s="59">
        <f t="shared" si="2"/>
        <v>0.80088219220860335</v>
      </c>
      <c r="K22" s="74">
        <f t="shared" si="3"/>
        <v>2.2328928878132563</v>
      </c>
      <c r="L22" s="57">
        <f t="shared" si="16"/>
        <v>826.38709677419354</v>
      </c>
      <c r="M22" s="78">
        <f t="shared" ref="M22:M27" si="18">L22*K22</f>
        <v>1845.233870967742</v>
      </c>
      <c r="O22" s="8" t="s">
        <v>67</v>
      </c>
      <c r="P22" s="8">
        <v>1743</v>
      </c>
      <c r="Q22" s="8">
        <v>1110</v>
      </c>
      <c r="R22" s="123"/>
      <c r="S22" s="118"/>
    </row>
    <row r="23" spans="2:19" s="4" customFormat="1" x14ac:dyDescent="0.2">
      <c r="B23" s="56" t="s">
        <v>107</v>
      </c>
      <c r="C23" s="57">
        <v>17244.86</v>
      </c>
      <c r="D23" s="57">
        <f>29867+752.28</f>
        <v>30619.279999999999</v>
      </c>
      <c r="E23" s="58">
        <f>C23+D23</f>
        <v>47864.14</v>
      </c>
      <c r="F23" s="59">
        <f t="shared" si="17"/>
        <v>0.63971231907645265</v>
      </c>
      <c r="G23" s="60">
        <v>3.84</v>
      </c>
      <c r="H23" s="61">
        <v>18.129000000000001</v>
      </c>
      <c r="I23" s="62">
        <f t="shared" si="1"/>
        <v>21.969000000000001</v>
      </c>
      <c r="J23" s="59">
        <f t="shared" si="2"/>
        <v>0.82520824798579817</v>
      </c>
      <c r="K23" s="74">
        <f t="shared" si="3"/>
        <v>2.178712731576312</v>
      </c>
      <c r="L23" s="57">
        <f t="shared" si="16"/>
        <v>708.67741935483866</v>
      </c>
      <c r="M23" s="78">
        <f t="shared" si="18"/>
        <v>1544.004516129032</v>
      </c>
      <c r="O23" s="193" t="s">
        <v>117</v>
      </c>
      <c r="P23" s="32">
        <v>1564</v>
      </c>
      <c r="Q23" s="32">
        <v>1302</v>
      </c>
      <c r="R23" s="123"/>
      <c r="S23" s="118"/>
    </row>
    <row r="24" spans="2:19" s="3" customFormat="1" x14ac:dyDescent="0.2">
      <c r="B24" s="56" t="s">
        <v>51</v>
      </c>
      <c r="C24" s="57">
        <v>31507.279999999999</v>
      </c>
      <c r="D24" s="57">
        <f>E24-C24</f>
        <v>52950.720000000001</v>
      </c>
      <c r="E24" s="58">
        <v>84458</v>
      </c>
      <c r="F24" s="59">
        <f t="shared" si="17"/>
        <v>0.62694735845035399</v>
      </c>
      <c r="G24" s="60">
        <v>4.9130000000000003</v>
      </c>
      <c r="H24" s="61">
        <v>34.072000000000003</v>
      </c>
      <c r="I24" s="62">
        <f t="shared" si="1"/>
        <v>38.984999999999999</v>
      </c>
      <c r="J24" s="59">
        <f t="shared" si="2"/>
        <v>0.87397717070668213</v>
      </c>
      <c r="K24" s="74">
        <f t="shared" si="3"/>
        <v>2.1664229831986663</v>
      </c>
      <c r="L24" s="57">
        <f t="shared" si="16"/>
        <v>1257.5806451612902</v>
      </c>
      <c r="M24" s="78">
        <f t="shared" si="18"/>
        <v>2724.4516129032259</v>
      </c>
      <c r="N24" s="6"/>
      <c r="O24" s="32" t="s">
        <v>140</v>
      </c>
      <c r="P24" s="32">
        <v>1351</v>
      </c>
      <c r="Q24" s="32">
        <v>1124</v>
      </c>
      <c r="R24" s="123"/>
      <c r="S24" s="118"/>
    </row>
    <row r="25" spans="2:19" s="118" customFormat="1" x14ac:dyDescent="0.2">
      <c r="B25" s="129" t="s">
        <v>70</v>
      </c>
      <c r="C25" s="130">
        <v>32323.54</v>
      </c>
      <c r="D25" s="130">
        <f>E25-C25</f>
        <v>41859.46</v>
      </c>
      <c r="E25" s="131">
        <v>74183</v>
      </c>
      <c r="F25" s="132">
        <f t="shared" si="17"/>
        <v>0.56427294663197769</v>
      </c>
      <c r="G25" s="133">
        <v>3.9279999999999999</v>
      </c>
      <c r="H25" s="134">
        <v>22.283999999999999</v>
      </c>
      <c r="I25" s="135">
        <f t="shared" si="1"/>
        <v>26.212</v>
      </c>
      <c r="J25" s="132">
        <f t="shared" si="2"/>
        <v>0.85014497176865556</v>
      </c>
      <c r="K25" s="136">
        <f t="shared" si="3"/>
        <v>2.8301159774149243</v>
      </c>
      <c r="L25" s="130">
        <f t="shared" si="16"/>
        <v>845.54838709677415</v>
      </c>
      <c r="M25" s="137">
        <f t="shared" si="18"/>
        <v>2392.9999999999995</v>
      </c>
      <c r="N25" s="283"/>
      <c r="O25" s="32" t="s">
        <v>157</v>
      </c>
      <c r="P25" s="288">
        <v>3813.66</v>
      </c>
      <c r="Q25" s="288">
        <v>2426.29</v>
      </c>
      <c r="R25" s="32" t="s">
        <v>159</v>
      </c>
    </row>
    <row r="26" spans="2:19" s="118" customFormat="1" x14ac:dyDescent="0.2">
      <c r="B26" s="129" t="s">
        <v>125</v>
      </c>
      <c r="C26" s="130">
        <v>36588.550000000003</v>
      </c>
      <c r="D26" s="130">
        <f>E26-C26</f>
        <v>29440.449999999997</v>
      </c>
      <c r="E26" s="131">
        <v>66029</v>
      </c>
      <c r="F26" s="132">
        <f t="shared" si="17"/>
        <v>0.44587151100274119</v>
      </c>
      <c r="G26" s="133">
        <v>2.3039999999999998</v>
      </c>
      <c r="H26" s="134">
        <v>20.457000000000001</v>
      </c>
      <c r="I26" s="135">
        <f t="shared" si="1"/>
        <v>22.760999999999999</v>
      </c>
      <c r="J26" s="132">
        <f t="shared" si="2"/>
        <v>0.89877421905891663</v>
      </c>
      <c r="K26" s="136">
        <f t="shared" si="3"/>
        <v>2.9009709590967003</v>
      </c>
      <c r="L26" s="130">
        <f t="shared" si="16"/>
        <v>734.22580645161293</v>
      </c>
      <c r="M26" s="137">
        <f t="shared" si="18"/>
        <v>2129.9677419354839</v>
      </c>
      <c r="O26" s="307" t="s">
        <v>175</v>
      </c>
      <c r="P26" s="254">
        <v>6000</v>
      </c>
      <c r="Q26" s="254">
        <v>6000</v>
      </c>
      <c r="R26" s="287" t="s">
        <v>194</v>
      </c>
      <c r="S26" s="4"/>
    </row>
    <row r="27" spans="2:19" s="118" customFormat="1" x14ac:dyDescent="0.2">
      <c r="B27" s="56" t="s">
        <v>148</v>
      </c>
      <c r="C27" s="57">
        <v>29631.42</v>
      </c>
      <c r="D27" s="57">
        <f>E27-C27</f>
        <v>26125.58</v>
      </c>
      <c r="E27" s="58">
        <v>55757</v>
      </c>
      <c r="F27" s="59">
        <f t="shared" si="17"/>
        <v>0.46856143623222202</v>
      </c>
      <c r="G27" s="60">
        <v>1.1100000000000001</v>
      </c>
      <c r="H27" s="61">
        <v>20.452999999999999</v>
      </c>
      <c r="I27" s="62">
        <f t="shared" si="1"/>
        <v>21.562999999999999</v>
      </c>
      <c r="J27" s="59">
        <f t="shared" si="2"/>
        <v>0.94852293280155819</v>
      </c>
      <c r="K27" s="74">
        <f t="shared" si="3"/>
        <v>2.5857719241292956</v>
      </c>
      <c r="L27" s="57">
        <f t="shared" si="16"/>
        <v>695.58064516129036</v>
      </c>
      <c r="M27" s="78">
        <f t="shared" si="18"/>
        <v>1798.6129032258066</v>
      </c>
      <c r="O27" s="42"/>
      <c r="P27" s="4"/>
      <c r="Q27" s="4"/>
      <c r="R27" s="117" t="s">
        <v>195</v>
      </c>
    </row>
    <row r="28" spans="2:19" s="118" customFormat="1" x14ac:dyDescent="0.2">
      <c r="B28" s="56" t="s">
        <v>164</v>
      </c>
      <c r="C28" s="57">
        <v>80268.53</v>
      </c>
      <c r="D28" s="57">
        <v>57813.119999999995</v>
      </c>
      <c r="E28" s="58">
        <v>138081.65</v>
      </c>
      <c r="F28" s="59">
        <v>0.41868792848289399</v>
      </c>
      <c r="G28" s="60">
        <v>5.5819999999999999</v>
      </c>
      <c r="H28" s="61">
        <v>24.309000000000001</v>
      </c>
      <c r="I28" s="62">
        <v>29.891000000000002</v>
      </c>
      <c r="J28" s="59">
        <v>0.8132548258673179</v>
      </c>
      <c r="K28" s="74">
        <v>4.6195058713325077</v>
      </c>
      <c r="L28" s="57">
        <v>964.22580645161293</v>
      </c>
      <c r="M28" s="78">
        <v>4454.2467741935479</v>
      </c>
      <c r="O28" s="42"/>
      <c r="P28" s="4"/>
      <c r="Q28" s="4"/>
    </row>
    <row r="29" spans="2:19" s="118" customFormat="1" ht="12.75" thickBot="1" x14ac:dyDescent="0.25">
      <c r="B29" s="289" t="s">
        <v>178</v>
      </c>
      <c r="C29" s="290">
        <v>74220.399999999994</v>
      </c>
      <c r="D29" s="290">
        <f>E29-C29</f>
        <v>36678</v>
      </c>
      <c r="E29" s="291">
        <v>110898.4</v>
      </c>
      <c r="F29" s="292">
        <f t="shared" si="17"/>
        <v>0.33073515938913456</v>
      </c>
      <c r="G29" s="293">
        <v>3.2690000000000001</v>
      </c>
      <c r="H29" s="294">
        <v>21.76</v>
      </c>
      <c r="I29" s="295">
        <f t="shared" si="1"/>
        <v>25.029000000000003</v>
      </c>
      <c r="J29" s="292">
        <f t="shared" ref="J29" si="19">H29/I29</f>
        <v>0.86939150585321023</v>
      </c>
      <c r="K29" s="296">
        <f t="shared" ref="K29" si="20">E29/(I29*1000)</f>
        <v>4.4307962763194686</v>
      </c>
      <c r="L29" s="290">
        <f t="shared" ref="L29" si="21">I29*1000/31</f>
        <v>807.38709677419365</v>
      </c>
      <c r="M29" s="297">
        <f t="shared" ref="M29" si="22">L29*K29</f>
        <v>3577.3677419354835</v>
      </c>
      <c r="O29" s="42"/>
      <c r="P29" s="4"/>
      <c r="Q29" s="4"/>
      <c r="R29" s="216"/>
    </row>
    <row r="30" spans="2:19" s="4" customFormat="1" ht="12.75" thickTop="1" x14ac:dyDescent="0.2">
      <c r="B30" s="63" t="s">
        <v>2</v>
      </c>
      <c r="C30" s="64">
        <v>19281.400000000001</v>
      </c>
      <c r="D30" s="64">
        <f>27290.55+677.56</f>
        <v>27968.11</v>
      </c>
      <c r="E30" s="65">
        <f t="shared" ref="E30:E93" si="23">SUM(C30:D30)</f>
        <v>47249.51</v>
      </c>
      <c r="F30" s="66">
        <f t="shared" si="15"/>
        <v>0.59192381042681708</v>
      </c>
      <c r="G30" s="67">
        <v>3.274</v>
      </c>
      <c r="H30" s="211">
        <v>16.513000000000002</v>
      </c>
      <c r="I30" s="68">
        <f t="shared" si="1"/>
        <v>19.787000000000003</v>
      </c>
      <c r="J30" s="66">
        <f t="shared" si="2"/>
        <v>0.83453782786678121</v>
      </c>
      <c r="K30" s="75">
        <f t="shared" si="3"/>
        <v>2.3879067064234092</v>
      </c>
      <c r="L30" s="57">
        <f t="shared" ref="L30:L34" si="24">I30*1000/30</f>
        <v>659.56666666666683</v>
      </c>
      <c r="M30" s="78">
        <f>L30*K30</f>
        <v>1574.983666666667</v>
      </c>
      <c r="O30" s="43"/>
      <c r="P30" s="3"/>
      <c r="Q30" s="3"/>
    </row>
    <row r="31" spans="2:19" s="4" customFormat="1" x14ac:dyDescent="0.2">
      <c r="B31" s="56" t="s">
        <v>3</v>
      </c>
      <c r="C31" s="57">
        <v>13646.07</v>
      </c>
      <c r="D31" s="57">
        <f>23760.93+559.08</f>
        <v>24320.010000000002</v>
      </c>
      <c r="E31" s="58">
        <f t="shared" si="23"/>
        <v>37966.080000000002</v>
      </c>
      <c r="F31" s="59">
        <f t="shared" si="15"/>
        <v>0.64057205800546169</v>
      </c>
      <c r="G31" s="61">
        <v>2.907</v>
      </c>
      <c r="H31" s="60">
        <v>13.42</v>
      </c>
      <c r="I31" s="62">
        <f t="shared" si="1"/>
        <v>16.326999999999998</v>
      </c>
      <c r="J31" s="59">
        <f t="shared" si="2"/>
        <v>0.82195136889814424</v>
      </c>
      <c r="K31" s="74">
        <f t="shared" si="3"/>
        <v>2.3253555460280522</v>
      </c>
      <c r="L31" s="57">
        <f t="shared" si="24"/>
        <v>544.23333333333323</v>
      </c>
      <c r="M31" s="78">
        <f t="shared" ref="M31:M35" si="25">L31*K31</f>
        <v>1265.5360000000001</v>
      </c>
      <c r="O31" s="42"/>
      <c r="P31" s="247"/>
      <c r="Q31" s="247"/>
      <c r="R31" s="3"/>
    </row>
    <row r="32" spans="2:19" s="3" customFormat="1" x14ac:dyDescent="0.2">
      <c r="B32" s="56" t="s">
        <v>41</v>
      </c>
      <c r="C32" s="57">
        <v>11996.34</v>
      </c>
      <c r="D32" s="57">
        <f t="shared" ref="D32:D36" si="26">E32-C32</f>
        <v>22913.8</v>
      </c>
      <c r="E32" s="58">
        <v>34910.14</v>
      </c>
      <c r="F32" s="59">
        <f t="shared" si="15"/>
        <v>0.65636517069252653</v>
      </c>
      <c r="G32" s="60">
        <v>2.7549999999999999</v>
      </c>
      <c r="H32" s="60">
        <v>12.48</v>
      </c>
      <c r="I32" s="62">
        <f t="shared" si="1"/>
        <v>15.234999999999999</v>
      </c>
      <c r="J32" s="59">
        <f t="shared" si="2"/>
        <v>0.81916639317361339</v>
      </c>
      <c r="K32" s="74">
        <f t="shared" si="3"/>
        <v>2.2914433869379716</v>
      </c>
      <c r="L32" s="57">
        <f t="shared" si="24"/>
        <v>507.83333333333331</v>
      </c>
      <c r="M32" s="78">
        <f t="shared" si="25"/>
        <v>1163.6713333333332</v>
      </c>
      <c r="N32" s="6"/>
      <c r="O32" s="119"/>
      <c r="P32" s="118"/>
      <c r="Q32" s="118"/>
      <c r="R32" s="4"/>
    </row>
    <row r="33" spans="2:18" s="4" customFormat="1" x14ac:dyDescent="0.2">
      <c r="B33" s="56" t="s">
        <v>52</v>
      </c>
      <c r="C33" s="57">
        <v>11814.04</v>
      </c>
      <c r="D33" s="57">
        <f t="shared" si="26"/>
        <v>19314.53</v>
      </c>
      <c r="E33" s="58">
        <v>31128.57</v>
      </c>
      <c r="F33" s="59">
        <f t="shared" si="15"/>
        <v>0.62047598074694721</v>
      </c>
      <c r="G33" s="60">
        <v>2.1150000000000002</v>
      </c>
      <c r="H33" s="60">
        <v>9.6280000000000001</v>
      </c>
      <c r="I33" s="62">
        <f t="shared" si="1"/>
        <v>11.743</v>
      </c>
      <c r="J33" s="59">
        <f t="shared" si="2"/>
        <v>0.81989270203525499</v>
      </c>
      <c r="K33" s="74">
        <f t="shared" si="3"/>
        <v>2.6508192114451163</v>
      </c>
      <c r="L33" s="57">
        <f t="shared" si="24"/>
        <v>391.43333333333334</v>
      </c>
      <c r="M33" s="78">
        <f t="shared" si="25"/>
        <v>1037.6190000000001</v>
      </c>
      <c r="O33" s="119"/>
      <c r="P33" s="118"/>
      <c r="Q33" s="118"/>
      <c r="R33" s="118"/>
    </row>
    <row r="34" spans="2:18" s="118" customFormat="1" x14ac:dyDescent="0.2">
      <c r="B34" s="129" t="s">
        <v>71</v>
      </c>
      <c r="C34" s="130">
        <f>21041.84*1.21</f>
        <v>25460.626400000001</v>
      </c>
      <c r="D34" s="130">
        <f t="shared" si="26"/>
        <v>24894.373599999999</v>
      </c>
      <c r="E34" s="131">
        <v>50355</v>
      </c>
      <c r="F34" s="132">
        <f t="shared" si="15"/>
        <v>0.49437739251315654</v>
      </c>
      <c r="G34" s="133">
        <v>2.6619999999999999</v>
      </c>
      <c r="H34" s="133">
        <v>14.343</v>
      </c>
      <c r="I34" s="135">
        <f t="shared" si="1"/>
        <v>17.004999999999999</v>
      </c>
      <c r="J34" s="132">
        <f t="shared" si="2"/>
        <v>0.84345780652749192</v>
      </c>
      <c r="K34" s="136">
        <f t="shared" si="3"/>
        <v>2.9611878859159071</v>
      </c>
      <c r="L34" s="130">
        <f t="shared" si="24"/>
        <v>566.83333333333337</v>
      </c>
      <c r="M34" s="137">
        <f t="shared" si="25"/>
        <v>1678.5000000000002</v>
      </c>
      <c r="O34" s="121"/>
      <c r="P34" s="122" t="s">
        <v>65</v>
      </c>
      <c r="Q34" s="122" t="s">
        <v>66</v>
      </c>
      <c r="R34" s="120"/>
    </row>
    <row r="35" spans="2:18" s="118" customFormat="1" x14ac:dyDescent="0.2">
      <c r="B35" s="129" t="s">
        <v>127</v>
      </c>
      <c r="C35" s="130">
        <v>19286</v>
      </c>
      <c r="D35" s="130">
        <f t="shared" si="26"/>
        <v>10952</v>
      </c>
      <c r="E35" s="131">
        <v>30238</v>
      </c>
      <c r="F35" s="132">
        <f t="shared" si="15"/>
        <v>0.36219326675044644</v>
      </c>
      <c r="G35" s="133">
        <v>1.091</v>
      </c>
      <c r="H35" s="133">
        <v>10.930999999999999</v>
      </c>
      <c r="I35" s="135">
        <f t="shared" si="1"/>
        <v>12.021999999999998</v>
      </c>
      <c r="J35" s="132">
        <f t="shared" si="2"/>
        <v>0.90924970886707712</v>
      </c>
      <c r="K35" s="136">
        <f t="shared" si="3"/>
        <v>2.5152220928298124</v>
      </c>
      <c r="L35" s="130">
        <f>I35*1000/30</f>
        <v>400.73333333333329</v>
      </c>
      <c r="M35" s="137">
        <f t="shared" si="25"/>
        <v>1007.9333333333334</v>
      </c>
      <c r="O35" s="121"/>
      <c r="P35" s="122"/>
      <c r="Q35" s="122"/>
      <c r="R35" s="120"/>
    </row>
    <row r="36" spans="2:18" s="118" customFormat="1" x14ac:dyDescent="0.2">
      <c r="B36" s="56" t="s">
        <v>146</v>
      </c>
      <c r="C36" s="57">
        <v>19297</v>
      </c>
      <c r="D36" s="57">
        <f t="shared" si="26"/>
        <v>18889</v>
      </c>
      <c r="E36" s="58">
        <v>38186</v>
      </c>
      <c r="F36" s="59">
        <f t="shared" si="15"/>
        <v>0.49465772796312785</v>
      </c>
      <c r="G36" s="60">
        <v>0.93500000000000005</v>
      </c>
      <c r="H36" s="61">
        <v>13.065</v>
      </c>
      <c r="I36" s="62">
        <f t="shared" si="1"/>
        <v>14</v>
      </c>
      <c r="J36" s="59">
        <f t="shared" si="2"/>
        <v>0.93321428571428566</v>
      </c>
      <c r="K36" s="74">
        <f t="shared" ref="K36" si="27">E36/(I36*1000)</f>
        <v>2.7275714285714288</v>
      </c>
      <c r="L36" s="57">
        <f>I36*1000/30</f>
        <v>466.66666666666669</v>
      </c>
      <c r="M36" s="78">
        <f t="shared" ref="M36" si="28">L36*K36</f>
        <v>1272.8666666666668</v>
      </c>
      <c r="O36" s="69" t="s">
        <v>61</v>
      </c>
      <c r="P36" s="70">
        <v>1155</v>
      </c>
      <c r="Q36" s="70">
        <v>736</v>
      </c>
      <c r="R36" s="248"/>
    </row>
    <row r="37" spans="2:18" s="118" customFormat="1" x14ac:dyDescent="0.2">
      <c r="B37" s="56" t="s">
        <v>165</v>
      </c>
      <c r="C37" s="57">
        <v>55141.65</v>
      </c>
      <c r="D37" s="57">
        <f t="shared" ref="D37:D38" si="29">E37-C37</f>
        <v>42625.599999999999</v>
      </c>
      <c r="E37" s="58">
        <v>97767.25</v>
      </c>
      <c r="F37" s="59">
        <f t="shared" ref="F37:F38" si="30">D37/E37</f>
        <v>0.43599057966752669</v>
      </c>
      <c r="G37" s="60">
        <v>2.698</v>
      </c>
      <c r="H37" s="61">
        <v>18.486000000000001</v>
      </c>
      <c r="I37" s="62">
        <f t="shared" ref="I37:I38" si="31">G37+H37</f>
        <v>21.184000000000001</v>
      </c>
      <c r="J37" s="59">
        <f t="shared" ref="J37:J38" si="32">H37/I37</f>
        <v>0.87263972809667667</v>
      </c>
      <c r="K37" s="74">
        <f t="shared" ref="K37:K38" si="33">E37/(I37*1000)</f>
        <v>4.6151458648036252</v>
      </c>
      <c r="L37" s="57">
        <f>I37*1000/30</f>
        <v>706.13333333333333</v>
      </c>
      <c r="M37" s="78">
        <f t="shared" ref="M37:M38" si="34">L37*K37</f>
        <v>3258.9083333333333</v>
      </c>
      <c r="O37" s="69" t="s">
        <v>62</v>
      </c>
      <c r="P37" s="71">
        <v>985</v>
      </c>
      <c r="Q37" s="71">
        <v>627</v>
      </c>
      <c r="R37" s="46"/>
    </row>
    <row r="38" spans="2:18" s="118" customFormat="1" ht="12.75" thickBot="1" x14ac:dyDescent="0.25">
      <c r="B38" s="138" t="s">
        <v>188</v>
      </c>
      <c r="C38" s="139">
        <v>55893.440000000002</v>
      </c>
      <c r="D38" s="139">
        <f t="shared" si="29"/>
        <v>29825.880000000005</v>
      </c>
      <c r="E38" s="140">
        <v>85719.32</v>
      </c>
      <c r="F38" s="141">
        <f t="shared" si="30"/>
        <v>0.34794816384451022</v>
      </c>
      <c r="G38" s="142">
        <v>2.7349999999999999</v>
      </c>
      <c r="H38" s="142">
        <v>17.170000000000002</v>
      </c>
      <c r="I38" s="144">
        <f t="shared" si="31"/>
        <v>19.905000000000001</v>
      </c>
      <c r="J38" s="141">
        <f t="shared" si="32"/>
        <v>0.86259733735242405</v>
      </c>
      <c r="K38" s="145">
        <f t="shared" si="33"/>
        <v>4.3064215021351426</v>
      </c>
      <c r="L38" s="139">
        <f>I38*1000/30</f>
        <v>663.5</v>
      </c>
      <c r="M38" s="146">
        <f t="shared" si="34"/>
        <v>2857.3106666666672</v>
      </c>
      <c r="O38" s="72" t="s">
        <v>63</v>
      </c>
      <c r="P38" s="201">
        <v>926</v>
      </c>
      <c r="Q38" s="201">
        <v>590</v>
      </c>
      <c r="R38" s="46"/>
    </row>
    <row r="39" spans="2:18" s="4" customFormat="1" ht="12.75" thickTop="1" x14ac:dyDescent="0.2">
      <c r="B39" s="63" t="s">
        <v>108</v>
      </c>
      <c r="C39" s="64">
        <v>10096.01</v>
      </c>
      <c r="D39" s="64">
        <f>16994+350.17</f>
        <v>17344.169999999998</v>
      </c>
      <c r="E39" s="65">
        <f t="shared" si="23"/>
        <v>27440.18</v>
      </c>
      <c r="F39" s="66">
        <f t="shared" si="15"/>
        <v>0.63207201993572926</v>
      </c>
      <c r="G39" s="67">
        <v>1.9510000000000001</v>
      </c>
      <c r="H39" s="67">
        <v>8.2750000000000004</v>
      </c>
      <c r="I39" s="68">
        <f t="shared" si="1"/>
        <v>10.226000000000001</v>
      </c>
      <c r="J39" s="66">
        <f t="shared" si="2"/>
        <v>0.80921181302562095</v>
      </c>
      <c r="K39" s="75">
        <f t="shared" si="3"/>
        <v>2.6833737531781732</v>
      </c>
      <c r="L39" s="57">
        <f t="shared" ref="L39:L44" si="35">I39*1000/31</f>
        <v>329.87096774193549</v>
      </c>
      <c r="M39" s="78">
        <f>L39*K39</f>
        <v>885.16709677419351</v>
      </c>
      <c r="O39" s="121" t="s">
        <v>64</v>
      </c>
      <c r="P39" s="8">
        <v>1184</v>
      </c>
      <c r="Q39" s="8">
        <v>754</v>
      </c>
      <c r="R39" s="46"/>
    </row>
    <row r="40" spans="2:18" s="3" customFormat="1" x14ac:dyDescent="0.2">
      <c r="B40" s="56" t="s">
        <v>109</v>
      </c>
      <c r="C40" s="57">
        <v>10187.66</v>
      </c>
      <c r="D40" s="57">
        <f>21411.1+387.15</f>
        <v>21798.25</v>
      </c>
      <c r="E40" s="58">
        <f>SUM(C40:D40)</f>
        <v>31985.91</v>
      </c>
      <c r="F40" s="59">
        <f t="shared" si="15"/>
        <v>0.68149538343601912</v>
      </c>
      <c r="G40" s="61">
        <v>3.7170000000000001</v>
      </c>
      <c r="H40" s="61">
        <v>7.5890000000000004</v>
      </c>
      <c r="I40" s="62">
        <f t="shared" si="1"/>
        <v>11.306000000000001</v>
      </c>
      <c r="J40" s="59">
        <f t="shared" si="2"/>
        <v>0.67123651158676811</v>
      </c>
      <c r="K40" s="74">
        <f t="shared" si="3"/>
        <v>2.8291093224836366</v>
      </c>
      <c r="L40" s="57">
        <f t="shared" si="35"/>
        <v>364.70967741935488</v>
      </c>
      <c r="M40" s="78">
        <f t="shared" ref="M40:M44" si="36">L40*K40</f>
        <v>1031.8035483870967</v>
      </c>
      <c r="N40" s="6"/>
      <c r="O40" s="8" t="s">
        <v>67</v>
      </c>
      <c r="P40" s="8">
        <v>1743</v>
      </c>
      <c r="Q40" s="8">
        <v>1110</v>
      </c>
      <c r="R40" s="123"/>
    </row>
    <row r="41" spans="2:18" s="4" customFormat="1" x14ac:dyDescent="0.2">
      <c r="B41" s="56" t="s">
        <v>110</v>
      </c>
      <c r="C41" s="57">
        <v>8599.36</v>
      </c>
      <c r="D41" s="57">
        <f t="shared" ref="D41:D45" si="37">E41-C41</f>
        <v>18918.64</v>
      </c>
      <c r="E41" s="58">
        <v>27518</v>
      </c>
      <c r="F41" s="59">
        <f t="shared" si="15"/>
        <v>0.68750054509775416</v>
      </c>
      <c r="G41" s="60">
        <v>2.7069999999999999</v>
      </c>
      <c r="H41" s="61">
        <v>7.7969999999999997</v>
      </c>
      <c r="I41" s="62">
        <f t="shared" si="1"/>
        <v>10.504</v>
      </c>
      <c r="J41" s="59">
        <f t="shared" si="2"/>
        <v>0.74228865194211724</v>
      </c>
      <c r="K41" s="74">
        <f t="shared" si="3"/>
        <v>2.6197638994668697</v>
      </c>
      <c r="L41" s="57">
        <f t="shared" si="35"/>
        <v>338.83870967741933</v>
      </c>
      <c r="M41" s="78">
        <f t="shared" si="36"/>
        <v>887.67741935483866</v>
      </c>
      <c r="O41" s="193" t="s">
        <v>117</v>
      </c>
      <c r="P41" s="32">
        <v>1564</v>
      </c>
      <c r="Q41" s="32">
        <v>1302</v>
      </c>
      <c r="R41" s="123"/>
    </row>
    <row r="42" spans="2:18" s="4" customFormat="1" x14ac:dyDescent="0.2">
      <c r="B42" s="56" t="s">
        <v>53</v>
      </c>
      <c r="C42" s="57">
        <v>3064.49</v>
      </c>
      <c r="D42" s="57">
        <f t="shared" si="37"/>
        <v>9846.51</v>
      </c>
      <c r="E42" s="58">
        <v>12911</v>
      </c>
      <c r="F42" s="59">
        <f t="shared" si="15"/>
        <v>0.7626450313686004</v>
      </c>
      <c r="G42" s="60">
        <v>1.194</v>
      </c>
      <c r="H42" s="61">
        <v>1.484</v>
      </c>
      <c r="I42" s="62">
        <f t="shared" si="1"/>
        <v>2.6779999999999999</v>
      </c>
      <c r="J42" s="59">
        <f t="shared" si="2"/>
        <v>0.55414488424197161</v>
      </c>
      <c r="K42" s="74">
        <f t="shared" si="3"/>
        <v>4.8211351755041072</v>
      </c>
      <c r="L42" s="57">
        <f t="shared" si="35"/>
        <v>86.387096774193552</v>
      </c>
      <c r="M42" s="78">
        <f t="shared" si="36"/>
        <v>416.48387096774189</v>
      </c>
      <c r="O42" s="32" t="s">
        <v>140</v>
      </c>
      <c r="P42" s="32">
        <v>1351</v>
      </c>
      <c r="Q42" s="32">
        <v>1124</v>
      </c>
      <c r="R42" s="123"/>
    </row>
    <row r="43" spans="2:18" s="118" customFormat="1" x14ac:dyDescent="0.2">
      <c r="B43" s="159" t="s">
        <v>72</v>
      </c>
      <c r="C43" s="130">
        <v>14295</v>
      </c>
      <c r="D43" s="130">
        <f t="shared" si="37"/>
        <v>22873.65</v>
      </c>
      <c r="E43" s="131">
        <v>37168.65</v>
      </c>
      <c r="F43" s="132">
        <f t="shared" si="15"/>
        <v>0.61540168932689243</v>
      </c>
      <c r="G43" s="133">
        <v>2.5310000000000001</v>
      </c>
      <c r="H43" s="133">
        <v>8.6199999999999992</v>
      </c>
      <c r="I43" s="135">
        <f t="shared" si="1"/>
        <v>11.151</v>
      </c>
      <c r="J43" s="132">
        <f t="shared" si="2"/>
        <v>0.77302484082145095</v>
      </c>
      <c r="K43" s="136">
        <f t="shared" si="3"/>
        <v>3.3332122679580309</v>
      </c>
      <c r="L43" s="130">
        <f t="shared" si="35"/>
        <v>359.70967741935482</v>
      </c>
      <c r="M43" s="137">
        <f t="shared" si="36"/>
        <v>1198.9887096774194</v>
      </c>
      <c r="O43" s="32" t="s">
        <v>157</v>
      </c>
      <c r="P43" s="288">
        <v>3813.66</v>
      </c>
      <c r="Q43" s="288">
        <v>2426.29</v>
      </c>
      <c r="R43" s="32" t="s">
        <v>159</v>
      </c>
    </row>
    <row r="44" spans="2:18" s="118" customFormat="1" x14ac:dyDescent="0.2">
      <c r="B44" s="159" t="s">
        <v>128</v>
      </c>
      <c r="C44" s="130">
        <v>12633.23</v>
      </c>
      <c r="D44" s="130">
        <f t="shared" si="37"/>
        <v>14531.77</v>
      </c>
      <c r="E44" s="131">
        <v>27165</v>
      </c>
      <c r="F44" s="132">
        <f t="shared" si="15"/>
        <v>0.53494459782808768</v>
      </c>
      <c r="G44" s="133">
        <v>1.595</v>
      </c>
      <c r="H44" s="134">
        <v>6.1029999999999998</v>
      </c>
      <c r="I44" s="135">
        <f t="shared" si="1"/>
        <v>7.6979999999999995</v>
      </c>
      <c r="J44" s="132">
        <f t="shared" si="2"/>
        <v>0.79280332553910104</v>
      </c>
      <c r="K44" s="136">
        <f t="shared" si="3"/>
        <v>3.5288386593920502</v>
      </c>
      <c r="L44" s="130">
        <f t="shared" si="35"/>
        <v>248.32258064516125</v>
      </c>
      <c r="M44" s="137">
        <f t="shared" si="36"/>
        <v>876.29032258064512</v>
      </c>
      <c r="O44" s="307" t="s">
        <v>175</v>
      </c>
      <c r="P44" s="254">
        <v>6000</v>
      </c>
      <c r="Q44" s="254">
        <v>6000</v>
      </c>
      <c r="R44" s="287" t="s">
        <v>194</v>
      </c>
    </row>
    <row r="45" spans="2:18" s="118" customFormat="1" x14ac:dyDescent="0.2">
      <c r="B45" s="56" t="s">
        <v>147</v>
      </c>
      <c r="C45" s="57">
        <v>12913.18</v>
      </c>
      <c r="D45" s="57">
        <f t="shared" si="37"/>
        <v>15053.82</v>
      </c>
      <c r="E45" s="58">
        <v>27967</v>
      </c>
      <c r="F45" s="59">
        <f t="shared" si="15"/>
        <v>0.53827081917974751</v>
      </c>
      <c r="G45" s="60">
        <v>1.177</v>
      </c>
      <c r="H45" s="60">
        <v>8.08</v>
      </c>
      <c r="I45" s="62">
        <f t="shared" si="1"/>
        <v>9.2569999999999997</v>
      </c>
      <c r="J45" s="59">
        <f t="shared" si="2"/>
        <v>0.87285297612617485</v>
      </c>
      <c r="K45" s="74">
        <f t="shared" ref="K45" si="38">E45/(I45*1000)</f>
        <v>3.0211731662525656</v>
      </c>
      <c r="L45" s="57">
        <f>I45*1000/30</f>
        <v>308.56666666666666</v>
      </c>
      <c r="M45" s="78">
        <f t="shared" ref="M45" si="39">L45*K45</f>
        <v>932.23333333333335</v>
      </c>
      <c r="O45" s="121"/>
      <c r="P45" s="8"/>
      <c r="Q45" s="8"/>
      <c r="R45" s="117" t="s">
        <v>195</v>
      </c>
    </row>
    <row r="46" spans="2:18" s="118" customFormat="1" x14ac:dyDescent="0.2">
      <c r="B46" s="56" t="s">
        <v>166</v>
      </c>
      <c r="C46" s="57">
        <v>9660.75</v>
      </c>
      <c r="D46" s="57">
        <f t="shared" ref="D46:D47" si="40">E46-C46</f>
        <v>17760.22</v>
      </c>
      <c r="E46" s="58">
        <v>27420.97</v>
      </c>
      <c r="F46" s="59">
        <f t="shared" ref="F46:F47" si="41">D46/E46</f>
        <v>0.64768751798349955</v>
      </c>
      <c r="G46" s="60">
        <v>1.222</v>
      </c>
      <c r="H46" s="61">
        <v>3.3839999999999999</v>
      </c>
      <c r="I46" s="62">
        <f t="shared" ref="I46:I47" si="42">G46+H46</f>
        <v>4.6059999999999999</v>
      </c>
      <c r="J46" s="59">
        <f t="shared" ref="J46:J47" si="43">H46/I46</f>
        <v>0.73469387755102045</v>
      </c>
      <c r="K46" s="74">
        <f t="shared" ref="K46:K47" si="44">E46/(I46*1000)</f>
        <v>5.9533152409900136</v>
      </c>
      <c r="L46" s="57">
        <f>I46*1000/30</f>
        <v>153.53333333333333</v>
      </c>
      <c r="M46" s="78">
        <f t="shared" ref="M46" si="45">L46*K46</f>
        <v>914.03233333333344</v>
      </c>
      <c r="O46" s="121"/>
      <c r="P46" s="8"/>
      <c r="Q46" s="8"/>
      <c r="R46" s="5"/>
    </row>
    <row r="47" spans="2:18" s="118" customFormat="1" ht="12.75" thickBot="1" x14ac:dyDescent="0.25">
      <c r="B47" s="289" t="s">
        <v>179</v>
      </c>
      <c r="C47" s="290">
        <v>16270.42</v>
      </c>
      <c r="D47" s="290">
        <f t="shared" si="40"/>
        <v>14282.88</v>
      </c>
      <c r="E47" s="291">
        <v>30553.3</v>
      </c>
      <c r="F47" s="292">
        <f t="shared" si="41"/>
        <v>0.46747421718766874</v>
      </c>
      <c r="G47" s="294">
        <v>1.5529999999999999</v>
      </c>
      <c r="H47" s="308">
        <v>5.5369999999999999</v>
      </c>
      <c r="I47" s="295">
        <f t="shared" si="42"/>
        <v>7.09</v>
      </c>
      <c r="J47" s="292">
        <f t="shared" si="43"/>
        <v>0.78095909732016922</v>
      </c>
      <c r="K47" s="296">
        <f t="shared" si="44"/>
        <v>4.3093511988716502</v>
      </c>
      <c r="L47" s="290">
        <f>I47*1000/30</f>
        <v>236.33333333333334</v>
      </c>
      <c r="M47" s="297">
        <f t="shared" ref="M47" si="46">L47*K47</f>
        <v>1018.4433333333334</v>
      </c>
      <c r="O47" s="8"/>
      <c r="P47" s="248"/>
      <c r="Q47" s="8"/>
      <c r="R47" s="4"/>
    </row>
    <row r="48" spans="2:18" s="3" customFormat="1" ht="12.75" thickTop="1" x14ac:dyDescent="0.2">
      <c r="B48" s="63" t="s">
        <v>111</v>
      </c>
      <c r="C48" s="64">
        <v>4659.1099999999997</v>
      </c>
      <c r="D48" s="64">
        <v>12196.59</v>
      </c>
      <c r="E48" s="65">
        <f t="shared" si="23"/>
        <v>16855.7</v>
      </c>
      <c r="F48" s="66">
        <f t="shared" si="15"/>
        <v>0.72358845969019381</v>
      </c>
      <c r="G48" s="67">
        <v>2.0369999999999999</v>
      </c>
      <c r="H48" s="67">
        <v>2.0350000000000001</v>
      </c>
      <c r="I48" s="68">
        <f t="shared" si="1"/>
        <v>4.0720000000000001</v>
      </c>
      <c r="J48" s="66">
        <f t="shared" si="2"/>
        <v>0.49975442043222007</v>
      </c>
      <c r="K48" s="75">
        <f t="shared" si="3"/>
        <v>4.1394155206286838</v>
      </c>
      <c r="L48" s="57">
        <f t="shared" ref="L48:L53" si="47">I48*1000/30</f>
        <v>135.73333333333332</v>
      </c>
      <c r="M48" s="78">
        <f>L48*K48</f>
        <v>561.85666666666657</v>
      </c>
      <c r="N48" s="6"/>
      <c r="O48" s="193"/>
      <c r="P48" s="32"/>
      <c r="Q48" s="124"/>
      <c r="R48" s="215"/>
    </row>
    <row r="49" spans="2:18" s="5" customFormat="1" x14ac:dyDescent="0.2">
      <c r="B49" s="56" t="s">
        <v>112</v>
      </c>
      <c r="C49" s="57">
        <v>4589.9399999999996</v>
      </c>
      <c r="D49" s="57">
        <v>14723.89</v>
      </c>
      <c r="E49" s="58">
        <v>19458.75</v>
      </c>
      <c r="F49" s="59">
        <f t="shared" si="15"/>
        <v>0.75667193421982393</v>
      </c>
      <c r="G49" s="61">
        <v>3.1840000000000002</v>
      </c>
      <c r="H49" s="61">
        <v>1.048</v>
      </c>
      <c r="I49" s="62">
        <f t="shared" si="1"/>
        <v>4.2320000000000002</v>
      </c>
      <c r="J49" s="59">
        <f t="shared" si="2"/>
        <v>0.24763705103969755</v>
      </c>
      <c r="K49" s="74">
        <f t="shared" si="3"/>
        <v>4.5980033081285443</v>
      </c>
      <c r="L49" s="80">
        <f t="shared" si="47"/>
        <v>141.06666666666666</v>
      </c>
      <c r="M49" s="81">
        <f t="shared" ref="M49:M53" si="48">L49*K49</f>
        <v>648.625</v>
      </c>
      <c r="O49" s="32"/>
      <c r="P49" s="32"/>
      <c r="Q49" s="124"/>
      <c r="R49" s="215"/>
    </row>
    <row r="50" spans="2:18" s="4" customFormat="1" x14ac:dyDescent="0.2">
      <c r="B50" s="56" t="s">
        <v>113</v>
      </c>
      <c r="C50" s="57">
        <v>1727.39</v>
      </c>
      <c r="D50" s="57">
        <f t="shared" ref="D50:D54" si="49">E50-C50</f>
        <v>8682.61</v>
      </c>
      <c r="E50" s="58">
        <v>10410</v>
      </c>
      <c r="F50" s="59">
        <f t="shared" si="15"/>
        <v>0.83406436119116245</v>
      </c>
      <c r="G50" s="60">
        <v>1.198</v>
      </c>
      <c r="H50" s="61">
        <v>0.53100000000000003</v>
      </c>
      <c r="I50" s="62">
        <f t="shared" si="1"/>
        <v>1.7290000000000001</v>
      </c>
      <c r="J50" s="59">
        <f t="shared" si="2"/>
        <v>0.30711393869288606</v>
      </c>
      <c r="K50" s="74">
        <f t="shared" si="3"/>
        <v>6.0208212839791786</v>
      </c>
      <c r="L50" s="57">
        <f t="shared" si="47"/>
        <v>57.633333333333333</v>
      </c>
      <c r="M50" s="78">
        <f t="shared" si="48"/>
        <v>347</v>
      </c>
      <c r="O50" s="121"/>
      <c r="P50" s="122" t="s">
        <v>65</v>
      </c>
      <c r="Q50" s="122" t="s">
        <v>66</v>
      </c>
      <c r="R50" s="120"/>
    </row>
    <row r="51" spans="2:18" s="4" customFormat="1" x14ac:dyDescent="0.2">
      <c r="B51" s="56" t="s">
        <v>54</v>
      </c>
      <c r="C51" s="57">
        <v>2850.65</v>
      </c>
      <c r="D51" s="57">
        <f t="shared" si="49"/>
        <v>9995.35</v>
      </c>
      <c r="E51" s="58">
        <v>12846</v>
      </c>
      <c r="F51" s="59">
        <f t="shared" si="15"/>
        <v>0.77809045617312789</v>
      </c>
      <c r="G51" s="60">
        <v>1.409</v>
      </c>
      <c r="H51" s="61">
        <v>0.91200000000000003</v>
      </c>
      <c r="I51" s="62">
        <f t="shared" si="1"/>
        <v>2.3210000000000002</v>
      </c>
      <c r="J51" s="59">
        <f t="shared" si="2"/>
        <v>0.39293408013787157</v>
      </c>
      <c r="K51" s="74">
        <f t="shared" si="3"/>
        <v>5.5346833261525203</v>
      </c>
      <c r="L51" s="57">
        <f t="shared" si="47"/>
        <v>77.36666666666666</v>
      </c>
      <c r="M51" s="78">
        <f t="shared" si="48"/>
        <v>428.19999999999993</v>
      </c>
      <c r="O51" s="121"/>
      <c r="P51" s="122"/>
      <c r="Q51" s="122"/>
      <c r="R51" s="120"/>
    </row>
    <row r="52" spans="2:18" s="117" customFormat="1" x14ac:dyDescent="0.2">
      <c r="B52" s="159" t="s">
        <v>73</v>
      </c>
      <c r="C52" s="130">
        <f>3499*1.21</f>
        <v>4233.79</v>
      </c>
      <c r="D52" s="130">
        <f t="shared" si="49"/>
        <v>10329.209999999999</v>
      </c>
      <c r="E52" s="131">
        <v>14563</v>
      </c>
      <c r="F52" s="132">
        <f t="shared" si="15"/>
        <v>0.70927762136922334</v>
      </c>
      <c r="G52" s="133">
        <v>1.4359999999999999</v>
      </c>
      <c r="H52" s="134">
        <v>0.83899999999999997</v>
      </c>
      <c r="I52" s="135">
        <f t="shared" si="1"/>
        <v>2.2749999999999999</v>
      </c>
      <c r="J52" s="132">
        <f t="shared" si="2"/>
        <v>0.3687912087912088</v>
      </c>
      <c r="K52" s="136">
        <f t="shared" si="3"/>
        <v>6.4013186813186813</v>
      </c>
      <c r="L52" s="130">
        <f t="shared" si="47"/>
        <v>75.833333333333329</v>
      </c>
      <c r="M52" s="137">
        <f t="shared" si="48"/>
        <v>485.43333333333328</v>
      </c>
      <c r="O52" s="69" t="s">
        <v>61</v>
      </c>
      <c r="P52" s="70">
        <v>1155</v>
      </c>
      <c r="Q52" s="70">
        <v>736</v>
      </c>
      <c r="R52" s="248"/>
    </row>
    <row r="53" spans="2:18" s="117" customFormat="1" x14ac:dyDescent="0.2">
      <c r="B53" s="159" t="s">
        <v>129</v>
      </c>
      <c r="C53" s="130">
        <v>5665.63</v>
      </c>
      <c r="D53" s="130">
        <f t="shared" si="49"/>
        <v>9805.369999999999</v>
      </c>
      <c r="E53" s="131">
        <v>15471</v>
      </c>
      <c r="F53" s="132">
        <f t="shared" si="15"/>
        <v>0.63379031736797875</v>
      </c>
      <c r="G53" s="133">
        <v>1.1890000000000001</v>
      </c>
      <c r="H53" s="134">
        <v>2.1680000000000001</v>
      </c>
      <c r="I53" s="135">
        <f t="shared" si="1"/>
        <v>3.3570000000000002</v>
      </c>
      <c r="J53" s="132">
        <f t="shared" si="2"/>
        <v>0.6458147155198094</v>
      </c>
      <c r="K53" s="136">
        <f t="shared" si="3"/>
        <v>4.60857908847185</v>
      </c>
      <c r="L53" s="130">
        <f t="shared" si="47"/>
        <v>111.9</v>
      </c>
      <c r="M53" s="137">
        <f t="shared" si="48"/>
        <v>515.70000000000005</v>
      </c>
      <c r="O53" s="69" t="s">
        <v>62</v>
      </c>
      <c r="P53" s="71">
        <v>985</v>
      </c>
      <c r="Q53" s="71">
        <v>627</v>
      </c>
      <c r="R53" s="46"/>
    </row>
    <row r="54" spans="2:18" s="117" customFormat="1" x14ac:dyDescent="0.2">
      <c r="B54" s="56" t="s">
        <v>149</v>
      </c>
      <c r="C54" s="57">
        <v>4100.7700000000004</v>
      </c>
      <c r="D54" s="57">
        <f t="shared" si="49"/>
        <v>9599.23</v>
      </c>
      <c r="E54" s="58">
        <v>13700</v>
      </c>
      <c r="F54" s="59">
        <f t="shared" si="15"/>
        <v>0.70067372262773719</v>
      </c>
      <c r="G54" s="60">
        <v>1.4219999999999999</v>
      </c>
      <c r="H54" s="61">
        <v>1.306</v>
      </c>
      <c r="I54" s="62">
        <f t="shared" si="1"/>
        <v>2.7279999999999998</v>
      </c>
      <c r="J54" s="59">
        <f t="shared" ref="J54" si="50">H54/I54</f>
        <v>0.47873900293255139</v>
      </c>
      <c r="K54" s="74">
        <f t="shared" ref="K54" si="51">E54/(I54*1000)</f>
        <v>5.0219941348973611</v>
      </c>
      <c r="L54" s="57">
        <f t="shared" ref="L54" si="52">I54*1000/30</f>
        <v>90.933333333333323</v>
      </c>
      <c r="M54" s="78">
        <f t="shared" ref="M54" si="53">L54*K54</f>
        <v>456.66666666666663</v>
      </c>
      <c r="O54" s="72" t="s">
        <v>63</v>
      </c>
      <c r="P54" s="201">
        <v>926</v>
      </c>
      <c r="Q54" s="201">
        <v>590</v>
      </c>
      <c r="R54" s="46"/>
    </row>
    <row r="55" spans="2:18" s="117" customFormat="1" x14ac:dyDescent="0.2">
      <c r="B55" s="56" t="s">
        <v>167</v>
      </c>
      <c r="C55" s="57">
        <v>6365.75</v>
      </c>
      <c r="D55" s="57">
        <f t="shared" ref="D55:D56" si="54">E55-C55</f>
        <v>10730.61</v>
      </c>
      <c r="E55" s="58">
        <v>17096.36</v>
      </c>
      <c r="F55" s="59">
        <f t="shared" ref="F55:F56" si="55">D55/E55</f>
        <v>0.62765465865248515</v>
      </c>
      <c r="G55" s="60">
        <v>1.3460000000000001</v>
      </c>
      <c r="H55" s="61">
        <v>0.50800000000000001</v>
      </c>
      <c r="I55" s="62">
        <f t="shared" ref="I55:I56" si="56">G55+H55</f>
        <v>1.8540000000000001</v>
      </c>
      <c r="J55" s="59">
        <f t="shared" ref="J55:J56" si="57">H55/I55</f>
        <v>0.27400215749730311</v>
      </c>
      <c r="K55" s="74">
        <f t="shared" ref="K55:K56" si="58">E55/(I55*1000)</f>
        <v>9.2213376483279408</v>
      </c>
      <c r="L55" s="57">
        <f t="shared" ref="L55:L56" si="59">I55*1000/30</f>
        <v>61.8</v>
      </c>
      <c r="M55" s="78">
        <f t="shared" ref="M55:M56" si="60">L55*K55</f>
        <v>569.87866666666673</v>
      </c>
      <c r="O55" s="121" t="s">
        <v>64</v>
      </c>
      <c r="P55" s="8">
        <v>1184</v>
      </c>
      <c r="Q55" s="8">
        <v>754</v>
      </c>
      <c r="R55" s="46"/>
    </row>
    <row r="56" spans="2:18" s="117" customFormat="1" ht="12.75" thickBot="1" x14ac:dyDescent="0.25">
      <c r="B56" s="289" t="s">
        <v>180</v>
      </c>
      <c r="C56" s="290">
        <v>6623.51</v>
      </c>
      <c r="D56" s="290">
        <f t="shared" si="54"/>
        <v>10675.289999999999</v>
      </c>
      <c r="E56" s="291">
        <v>17298.8</v>
      </c>
      <c r="F56" s="292">
        <f t="shared" si="55"/>
        <v>0.61711159155548356</v>
      </c>
      <c r="G56" s="294">
        <v>1.64</v>
      </c>
      <c r="H56" s="308">
        <v>0.96599999999999997</v>
      </c>
      <c r="I56" s="295">
        <f t="shared" si="56"/>
        <v>2.6059999999999999</v>
      </c>
      <c r="J56" s="292">
        <f t="shared" si="57"/>
        <v>0.37068303914044515</v>
      </c>
      <c r="K56" s="296">
        <f t="shared" si="58"/>
        <v>6.6380660015349191</v>
      </c>
      <c r="L56" s="290">
        <f t="shared" si="59"/>
        <v>86.86666666666666</v>
      </c>
      <c r="M56" s="297">
        <f t="shared" si="60"/>
        <v>576.62666666666655</v>
      </c>
      <c r="O56" s="8" t="s">
        <v>67</v>
      </c>
      <c r="P56" s="8">
        <v>1743</v>
      </c>
      <c r="Q56" s="8">
        <v>1110</v>
      </c>
      <c r="R56" s="123"/>
    </row>
    <row r="57" spans="2:18" s="5" customFormat="1" ht="12.75" thickTop="1" x14ac:dyDescent="0.2">
      <c r="B57" s="63" t="s">
        <v>114</v>
      </c>
      <c r="C57" s="64">
        <v>3978.64</v>
      </c>
      <c r="D57" s="64">
        <f>12245.27+104.58</f>
        <v>12349.85</v>
      </c>
      <c r="E57" s="65">
        <f t="shared" si="23"/>
        <v>16328.49</v>
      </c>
      <c r="F57" s="66">
        <f t="shared" si="15"/>
        <v>0.75633754254067587</v>
      </c>
      <c r="G57" s="67">
        <v>2.4830000000000001</v>
      </c>
      <c r="H57" s="67">
        <v>0.57099999999999995</v>
      </c>
      <c r="I57" s="68">
        <f t="shared" si="1"/>
        <v>3.0540000000000003</v>
      </c>
      <c r="J57" s="66">
        <f t="shared" si="2"/>
        <v>0.18696791093647672</v>
      </c>
      <c r="K57" s="75">
        <f t="shared" si="3"/>
        <v>5.3465913555992133</v>
      </c>
      <c r="L57" s="80">
        <f t="shared" ref="L57:L72" si="61">I57*1000/31</f>
        <v>98.516129032258078</v>
      </c>
      <c r="M57" s="81">
        <f>L57*K57</f>
        <v>526.72548387096776</v>
      </c>
      <c r="O57" s="193" t="s">
        <v>117</v>
      </c>
      <c r="P57" s="32">
        <v>1564</v>
      </c>
      <c r="Q57" s="32">
        <v>1302</v>
      </c>
      <c r="R57" s="123"/>
    </row>
    <row r="58" spans="2:18" s="4" customFormat="1" x14ac:dyDescent="0.2">
      <c r="B58" s="56" t="s">
        <v>115</v>
      </c>
      <c r="C58" s="57">
        <v>4489.5200000000004</v>
      </c>
      <c r="D58" s="57">
        <f>14864.4+137.31</f>
        <v>15001.71</v>
      </c>
      <c r="E58" s="58">
        <v>19353.919999999998</v>
      </c>
      <c r="F58" s="59">
        <f t="shared" si="15"/>
        <v>0.77512514260676912</v>
      </c>
      <c r="G58" s="61">
        <v>3.3410000000000002</v>
      </c>
      <c r="H58" s="61">
        <v>0.66900000000000004</v>
      </c>
      <c r="I58" s="62">
        <f t="shared" si="1"/>
        <v>4.01</v>
      </c>
      <c r="J58" s="59">
        <f t="shared" si="2"/>
        <v>0.16683291770573569</v>
      </c>
      <c r="K58" s="74">
        <f t="shared" si="3"/>
        <v>4.8264139650872817</v>
      </c>
      <c r="L58" s="57">
        <f t="shared" si="61"/>
        <v>129.35483870967741</v>
      </c>
      <c r="M58" s="78">
        <f t="shared" ref="M58:M63" si="62">L58*K58</f>
        <v>624.31999999999994</v>
      </c>
      <c r="O58" s="32" t="s">
        <v>140</v>
      </c>
      <c r="P58" s="32">
        <v>1351</v>
      </c>
      <c r="Q58" s="32">
        <v>1124</v>
      </c>
      <c r="R58" s="123"/>
    </row>
    <row r="59" spans="2:18" s="4" customFormat="1" x14ac:dyDescent="0.2">
      <c r="B59" s="56" t="s">
        <v>116</v>
      </c>
      <c r="C59" s="57">
        <v>1805.48</v>
      </c>
      <c r="D59" s="57">
        <f>8894.7+61.06</f>
        <v>8955.76</v>
      </c>
      <c r="E59" s="58">
        <v>10761</v>
      </c>
      <c r="F59" s="59">
        <f t="shared" si="15"/>
        <v>0.83224235665830315</v>
      </c>
      <c r="G59" s="60">
        <v>1.31</v>
      </c>
      <c r="H59" s="61">
        <v>0.47299999999999998</v>
      </c>
      <c r="I59" s="62">
        <f t="shared" si="1"/>
        <v>1.7829999999999999</v>
      </c>
      <c r="J59" s="59">
        <f t="shared" si="2"/>
        <v>0.26528323051037578</v>
      </c>
      <c r="K59" s="74">
        <f t="shared" si="3"/>
        <v>6.0353337072349973</v>
      </c>
      <c r="L59" s="57">
        <f t="shared" si="61"/>
        <v>57.516129032258064</v>
      </c>
      <c r="M59" s="78">
        <f t="shared" si="62"/>
        <v>347.12903225806451</v>
      </c>
      <c r="O59" s="32" t="s">
        <v>157</v>
      </c>
      <c r="P59" s="288">
        <v>3813.66</v>
      </c>
      <c r="Q59" s="288">
        <v>2426.29</v>
      </c>
      <c r="R59" s="32" t="s">
        <v>159</v>
      </c>
    </row>
    <row r="60" spans="2:18" s="3" customFormat="1" x14ac:dyDescent="0.2">
      <c r="B60" s="56" t="s">
        <v>55</v>
      </c>
      <c r="C60" s="57">
        <v>2482.4499999999998</v>
      </c>
      <c r="D60" s="57">
        <f t="shared" ref="D60:D65" si="63">E60-C60</f>
        <v>9646.5499999999993</v>
      </c>
      <c r="E60" s="58">
        <v>12129</v>
      </c>
      <c r="F60" s="59">
        <f t="shared" si="15"/>
        <v>0.79532937587599961</v>
      </c>
      <c r="G60" s="60">
        <v>1.401</v>
      </c>
      <c r="H60" s="61">
        <v>0.52100000000000002</v>
      </c>
      <c r="I60" s="62">
        <f t="shared" si="1"/>
        <v>1.9220000000000002</v>
      </c>
      <c r="J60" s="59">
        <f t="shared" si="2"/>
        <v>0.27107180020811655</v>
      </c>
      <c r="K60" s="74">
        <f t="shared" si="3"/>
        <v>6.3106139438085318</v>
      </c>
      <c r="L60" s="57">
        <f t="shared" si="61"/>
        <v>62.000000000000007</v>
      </c>
      <c r="M60" s="78">
        <f t="shared" si="62"/>
        <v>391.25806451612902</v>
      </c>
      <c r="N60" s="6"/>
      <c r="O60" s="307" t="s">
        <v>175</v>
      </c>
      <c r="P60" s="254">
        <v>6000</v>
      </c>
      <c r="Q60" s="254">
        <v>6000</v>
      </c>
      <c r="R60" s="287" t="s">
        <v>194</v>
      </c>
    </row>
    <row r="61" spans="2:18" s="118" customFormat="1" x14ac:dyDescent="0.2">
      <c r="B61" s="159" t="s">
        <v>74</v>
      </c>
      <c r="C61" s="130">
        <v>2877.8</v>
      </c>
      <c r="D61" s="130">
        <f t="shared" si="63"/>
        <v>10298.200000000001</v>
      </c>
      <c r="E61" s="131">
        <v>13176</v>
      </c>
      <c r="F61" s="132">
        <f t="shared" si="15"/>
        <v>0.78158773527625991</v>
      </c>
      <c r="G61" s="133">
        <v>1.3220000000000001</v>
      </c>
      <c r="H61" s="134">
        <v>0.47099999999999997</v>
      </c>
      <c r="I61" s="135">
        <f t="shared" si="1"/>
        <v>1.7930000000000001</v>
      </c>
      <c r="J61" s="132">
        <f t="shared" si="2"/>
        <v>0.26268823201338537</v>
      </c>
      <c r="K61" s="136">
        <f t="shared" si="3"/>
        <v>7.3485778025655319</v>
      </c>
      <c r="L61" s="130">
        <f t="shared" si="61"/>
        <v>57.838709677419359</v>
      </c>
      <c r="M61" s="137">
        <f t="shared" si="62"/>
        <v>425.0322580645161</v>
      </c>
      <c r="R61" s="117" t="s">
        <v>195</v>
      </c>
    </row>
    <row r="62" spans="2:18" s="118" customFormat="1" x14ac:dyDescent="0.2">
      <c r="B62" s="159" t="s">
        <v>130</v>
      </c>
      <c r="C62" s="130">
        <v>3206.35</v>
      </c>
      <c r="D62" s="130">
        <f t="shared" si="63"/>
        <v>8698.65</v>
      </c>
      <c r="E62" s="131">
        <v>11905</v>
      </c>
      <c r="F62" s="132">
        <f t="shared" si="15"/>
        <v>0.73067198656026877</v>
      </c>
      <c r="G62" s="133">
        <v>1.333</v>
      </c>
      <c r="H62" s="134">
        <v>0.434</v>
      </c>
      <c r="I62" s="135">
        <f t="shared" si="1"/>
        <v>1.7669999999999999</v>
      </c>
      <c r="J62" s="132">
        <f t="shared" si="2"/>
        <v>0.24561403508771931</v>
      </c>
      <c r="K62" s="136">
        <f t="shared" si="3"/>
        <v>6.7374080362195814</v>
      </c>
      <c r="L62" s="130">
        <f t="shared" si="61"/>
        <v>57</v>
      </c>
      <c r="M62" s="137">
        <f t="shared" si="62"/>
        <v>384.03225806451616</v>
      </c>
    </row>
    <row r="63" spans="2:18" s="118" customFormat="1" x14ac:dyDescent="0.2">
      <c r="B63" s="56" t="s">
        <v>150</v>
      </c>
      <c r="C63" s="57">
        <v>3072.76</v>
      </c>
      <c r="D63" s="57">
        <f t="shared" si="63"/>
        <v>8849.24</v>
      </c>
      <c r="E63" s="58">
        <v>11922</v>
      </c>
      <c r="F63" s="59">
        <f t="shared" si="15"/>
        <v>0.74226136554269417</v>
      </c>
      <c r="G63" s="60">
        <v>1.3879999999999999</v>
      </c>
      <c r="H63" s="61">
        <v>0.59099999999999997</v>
      </c>
      <c r="I63" s="62">
        <f t="shared" si="1"/>
        <v>1.9789999999999999</v>
      </c>
      <c r="J63" s="59">
        <f t="shared" si="2"/>
        <v>0.29863567458312279</v>
      </c>
      <c r="K63" s="74">
        <f t="shared" si="3"/>
        <v>6.0242546740778176</v>
      </c>
      <c r="L63" s="57">
        <f t="shared" si="61"/>
        <v>63.838709677419345</v>
      </c>
      <c r="M63" s="78">
        <f t="shared" si="62"/>
        <v>384.58064516129031</v>
      </c>
    </row>
    <row r="64" spans="2:18" s="118" customFormat="1" x14ac:dyDescent="0.2">
      <c r="B64" s="56" t="s">
        <v>168</v>
      </c>
      <c r="C64" s="57">
        <f>7207.18+1274.13</f>
        <v>8481.3100000000013</v>
      </c>
      <c r="D64" s="57">
        <f t="shared" si="63"/>
        <v>8044.02</v>
      </c>
      <c r="E64" s="58">
        <v>16525.330000000002</v>
      </c>
      <c r="F64" s="59">
        <f t="shared" ref="F64:F65" si="64">D64/E64</f>
        <v>0.48676909931601969</v>
      </c>
      <c r="G64" s="60">
        <v>1.28</v>
      </c>
      <c r="H64" s="60">
        <v>0.49</v>
      </c>
      <c r="I64" s="62">
        <f t="shared" ref="I64:I65" si="65">G64+H64</f>
        <v>1.77</v>
      </c>
      <c r="J64" s="59">
        <f t="shared" ref="J64:J65" si="66">H64/I64</f>
        <v>0.2768361581920904</v>
      </c>
      <c r="K64" s="74">
        <f t="shared" ref="K64:K65" si="67">E64/(I64*1000)</f>
        <v>9.3363446327683626</v>
      </c>
      <c r="L64" s="57">
        <f t="shared" ref="L64:L65" si="68">I64*1000/31</f>
        <v>57.096774193548384</v>
      </c>
      <c r="M64" s="78">
        <f t="shared" ref="M64:M65" si="69">L64*K64</f>
        <v>533.07516129032263</v>
      </c>
    </row>
    <row r="65" spans="2:18" s="118" customFormat="1" ht="12.75" thickBot="1" x14ac:dyDescent="0.25">
      <c r="B65" s="289" t="s">
        <v>181</v>
      </c>
      <c r="C65" s="290">
        <f>7797.03+2668.46</f>
        <v>10465.49</v>
      </c>
      <c r="D65" s="290">
        <f t="shared" si="63"/>
        <v>5590.77</v>
      </c>
      <c r="E65" s="291">
        <v>16056.26</v>
      </c>
      <c r="F65" s="292">
        <f t="shared" si="64"/>
        <v>0.34819877107122083</v>
      </c>
      <c r="G65" s="294">
        <v>1.57</v>
      </c>
      <c r="H65" s="294">
        <v>0.86699999999999999</v>
      </c>
      <c r="I65" s="295">
        <f t="shared" si="65"/>
        <v>2.4370000000000003</v>
      </c>
      <c r="J65" s="292">
        <f t="shared" si="66"/>
        <v>0.35576528518670492</v>
      </c>
      <c r="K65" s="296">
        <f t="shared" si="67"/>
        <v>6.588535084119818</v>
      </c>
      <c r="L65" s="290">
        <f t="shared" si="68"/>
        <v>78.612903225806463</v>
      </c>
      <c r="M65" s="297">
        <f t="shared" si="69"/>
        <v>517.94387096774187</v>
      </c>
    </row>
    <row r="66" spans="2:18" s="4" customFormat="1" ht="12.75" thickTop="1" x14ac:dyDescent="0.2">
      <c r="B66" s="63" t="s">
        <v>4</v>
      </c>
      <c r="C66" s="64">
        <v>3815.09</v>
      </c>
      <c r="D66" s="64">
        <v>11846</v>
      </c>
      <c r="E66" s="65">
        <f t="shared" si="23"/>
        <v>15661.09</v>
      </c>
      <c r="F66" s="66">
        <f t="shared" si="15"/>
        <v>0.75639690468543375</v>
      </c>
      <c r="G66" s="67">
        <v>2.3149999999999999</v>
      </c>
      <c r="H66" s="67">
        <v>0.65100000000000002</v>
      </c>
      <c r="I66" s="68">
        <f t="shared" si="1"/>
        <v>2.9660000000000002</v>
      </c>
      <c r="J66" s="66">
        <f t="shared" si="2"/>
        <v>0.21948752528658125</v>
      </c>
      <c r="K66" s="75">
        <f t="shared" si="3"/>
        <v>5.2802056641942006</v>
      </c>
      <c r="L66" s="57">
        <f t="shared" si="61"/>
        <v>95.677419354838705</v>
      </c>
      <c r="M66" s="78">
        <f>L66*K66</f>
        <v>505.19645161290316</v>
      </c>
      <c r="O66" s="121"/>
      <c r="P66" s="122" t="s">
        <v>65</v>
      </c>
      <c r="Q66" s="122" t="s">
        <v>66</v>
      </c>
      <c r="R66" s="120"/>
    </row>
    <row r="67" spans="2:18" s="4" customFormat="1" x14ac:dyDescent="0.2">
      <c r="B67" s="56" t="s">
        <v>5</v>
      </c>
      <c r="C67" s="57">
        <v>4107</v>
      </c>
      <c r="D67" s="57">
        <f>13988+126</f>
        <v>14114</v>
      </c>
      <c r="E67" s="58">
        <f t="shared" si="23"/>
        <v>18221</v>
      </c>
      <c r="F67" s="59">
        <f t="shared" si="15"/>
        <v>0.77460073541518026</v>
      </c>
      <c r="G67" s="61">
        <v>3.036</v>
      </c>
      <c r="H67" s="61">
        <v>0.64500000000000002</v>
      </c>
      <c r="I67" s="62">
        <f t="shared" si="1"/>
        <v>3.681</v>
      </c>
      <c r="J67" s="59">
        <f t="shared" si="2"/>
        <v>0.17522412387938061</v>
      </c>
      <c r="K67" s="74">
        <f t="shared" si="3"/>
        <v>4.9500135832654166</v>
      </c>
      <c r="L67" s="57">
        <f t="shared" si="61"/>
        <v>118.74193548387096</v>
      </c>
      <c r="M67" s="78">
        <f t="shared" ref="M67:M72" si="70">L67*K67</f>
        <v>587.77419354838696</v>
      </c>
      <c r="O67" s="121"/>
      <c r="P67" s="122"/>
      <c r="Q67" s="122"/>
      <c r="R67" s="120"/>
    </row>
    <row r="68" spans="2:18" s="3" customFormat="1" x14ac:dyDescent="0.2">
      <c r="B68" s="56" t="s">
        <v>42</v>
      </c>
      <c r="C68" s="57">
        <v>1904.16</v>
      </c>
      <c r="D68" s="57">
        <f t="shared" ref="D68:D72" si="71">E68-C68</f>
        <v>9216.84</v>
      </c>
      <c r="E68" s="58">
        <v>11121</v>
      </c>
      <c r="F68" s="59">
        <f t="shared" si="15"/>
        <v>0.82877798759104393</v>
      </c>
      <c r="G68" s="60">
        <v>1.407</v>
      </c>
      <c r="H68" s="61">
        <v>0.45900000000000002</v>
      </c>
      <c r="I68" s="62">
        <f t="shared" si="1"/>
        <v>1.8660000000000001</v>
      </c>
      <c r="J68" s="59">
        <f t="shared" si="2"/>
        <v>0.24598070739549838</v>
      </c>
      <c r="K68" s="74">
        <f t="shared" si="3"/>
        <v>5.959807073954984</v>
      </c>
      <c r="L68" s="57">
        <f t="shared" si="61"/>
        <v>60.193548387096776</v>
      </c>
      <c r="M68" s="78">
        <f t="shared" si="70"/>
        <v>358.74193548387098</v>
      </c>
      <c r="N68" s="6"/>
      <c r="O68" s="69" t="s">
        <v>61</v>
      </c>
      <c r="P68" s="70">
        <v>1155</v>
      </c>
      <c r="Q68" s="70">
        <v>736</v>
      </c>
      <c r="R68" s="248"/>
    </row>
    <row r="69" spans="2:18" s="3" customFormat="1" x14ac:dyDescent="0.2">
      <c r="B69" s="56" t="s">
        <v>60</v>
      </c>
      <c r="C69" s="57">
        <v>2412.52</v>
      </c>
      <c r="D69" s="57">
        <f t="shared" si="71"/>
        <v>9499.43</v>
      </c>
      <c r="E69" s="58">
        <v>11911.95</v>
      </c>
      <c r="F69" s="59">
        <f t="shared" si="15"/>
        <v>0.79747060724734398</v>
      </c>
      <c r="G69" s="60">
        <v>1.349</v>
      </c>
      <c r="H69" s="61">
        <v>0.52600000000000002</v>
      </c>
      <c r="I69" s="62">
        <f t="shared" si="1"/>
        <v>1.875</v>
      </c>
      <c r="J69" s="59">
        <f t="shared" si="2"/>
        <v>0.28053333333333336</v>
      </c>
      <c r="K69" s="74">
        <f t="shared" si="3"/>
        <v>6.35304</v>
      </c>
      <c r="L69" s="57">
        <f t="shared" si="61"/>
        <v>60.483870967741936</v>
      </c>
      <c r="M69" s="78">
        <f t="shared" si="70"/>
        <v>384.25645161290322</v>
      </c>
      <c r="N69" s="6"/>
      <c r="O69" s="69" t="s">
        <v>62</v>
      </c>
      <c r="P69" s="71">
        <v>985</v>
      </c>
      <c r="Q69" s="71">
        <v>627</v>
      </c>
      <c r="R69" s="46"/>
    </row>
    <row r="70" spans="2:18" s="4" customFormat="1" x14ac:dyDescent="0.2">
      <c r="B70" s="159" t="s">
        <v>75</v>
      </c>
      <c r="C70" s="130">
        <v>3075.43</v>
      </c>
      <c r="D70" s="130">
        <f t="shared" si="71"/>
        <v>10680.57</v>
      </c>
      <c r="E70" s="131">
        <v>13756</v>
      </c>
      <c r="F70" s="132">
        <f t="shared" si="15"/>
        <v>0.77642992148880485</v>
      </c>
      <c r="G70" s="133">
        <v>1.44</v>
      </c>
      <c r="H70" s="134">
        <v>0.46100000000000002</v>
      </c>
      <c r="I70" s="135">
        <f t="shared" si="1"/>
        <v>1.901</v>
      </c>
      <c r="J70" s="132">
        <f t="shared" si="2"/>
        <v>0.2425039452919516</v>
      </c>
      <c r="K70" s="136">
        <f t="shared" si="3"/>
        <v>7.2361914781693848</v>
      </c>
      <c r="L70" s="130">
        <f t="shared" si="61"/>
        <v>61.322580645161288</v>
      </c>
      <c r="M70" s="137">
        <f t="shared" si="70"/>
        <v>443.74193548387098</v>
      </c>
      <c r="O70" s="72" t="s">
        <v>63</v>
      </c>
      <c r="P70" s="201">
        <v>926</v>
      </c>
      <c r="Q70" s="201">
        <v>590</v>
      </c>
      <c r="R70" s="46"/>
    </row>
    <row r="71" spans="2:18" s="4" customFormat="1" x14ac:dyDescent="0.2">
      <c r="B71" s="159" t="s">
        <v>131</v>
      </c>
      <c r="C71" s="130">
        <v>3206</v>
      </c>
      <c r="D71" s="130">
        <f t="shared" si="71"/>
        <v>8642</v>
      </c>
      <c r="E71" s="131">
        <v>11848</v>
      </c>
      <c r="F71" s="132">
        <f t="shared" si="15"/>
        <v>0.72940580688723833</v>
      </c>
      <c r="G71" s="133">
        <v>1.304</v>
      </c>
      <c r="H71" s="134">
        <v>0.46899999999999997</v>
      </c>
      <c r="I71" s="135">
        <f t="shared" si="1"/>
        <v>1.7730000000000001</v>
      </c>
      <c r="J71" s="132">
        <f t="shared" si="2"/>
        <v>0.26452340665538632</v>
      </c>
      <c r="K71" s="136">
        <f t="shared" si="3"/>
        <v>6.6824591088550473</v>
      </c>
      <c r="L71" s="130">
        <f t="shared" si="61"/>
        <v>57.193548387096783</v>
      </c>
      <c r="M71" s="137">
        <f t="shared" si="70"/>
        <v>382.19354838709683</v>
      </c>
      <c r="O71" s="121" t="s">
        <v>64</v>
      </c>
      <c r="P71" s="8">
        <v>1184</v>
      </c>
      <c r="Q71" s="8">
        <v>754</v>
      </c>
      <c r="R71" s="46"/>
    </row>
    <row r="72" spans="2:18" s="4" customFormat="1" x14ac:dyDescent="0.2">
      <c r="B72" s="56" t="s">
        <v>151</v>
      </c>
      <c r="C72" s="57">
        <v>3412.31</v>
      </c>
      <c r="D72" s="57">
        <f t="shared" si="71"/>
        <v>9136.69</v>
      </c>
      <c r="E72" s="58">
        <v>12549</v>
      </c>
      <c r="F72" s="59">
        <f t="shared" si="15"/>
        <v>0.72808112200175312</v>
      </c>
      <c r="G72" s="60">
        <v>1.421</v>
      </c>
      <c r="H72" s="61">
        <v>0.80100000000000005</v>
      </c>
      <c r="I72" s="62">
        <f t="shared" si="1"/>
        <v>2.222</v>
      </c>
      <c r="J72" s="59">
        <f t="shared" si="2"/>
        <v>0.3604860486048605</v>
      </c>
      <c r="K72" s="74">
        <f t="shared" si="3"/>
        <v>5.6476147614761478</v>
      </c>
      <c r="L72" s="57">
        <f t="shared" si="61"/>
        <v>71.677419354838705</v>
      </c>
      <c r="M72" s="78">
        <f t="shared" si="70"/>
        <v>404.80645161290323</v>
      </c>
      <c r="O72" s="8" t="s">
        <v>67</v>
      </c>
      <c r="P72" s="8">
        <v>1743</v>
      </c>
      <c r="Q72" s="8">
        <v>1110</v>
      </c>
      <c r="R72" s="123"/>
    </row>
    <row r="73" spans="2:18" s="4" customFormat="1" x14ac:dyDescent="0.2">
      <c r="B73" s="56" t="s">
        <v>169</v>
      </c>
      <c r="C73" s="57">
        <f>7573.17+1284.54</f>
        <v>8857.7099999999991</v>
      </c>
      <c r="D73" s="57">
        <f t="shared" ref="D73:D74" si="72">E73-C73</f>
        <v>8176.23</v>
      </c>
      <c r="E73" s="58">
        <v>17033.939999999999</v>
      </c>
      <c r="F73" s="59">
        <f t="shared" ref="F73:F74" si="73">D73/E73</f>
        <v>0.47999640717297348</v>
      </c>
      <c r="G73" s="60">
        <v>1.345</v>
      </c>
      <c r="H73" s="61">
        <v>0.49399999999999999</v>
      </c>
      <c r="I73" s="62">
        <f t="shared" ref="I73:I74" si="74">G73+H73</f>
        <v>1.839</v>
      </c>
      <c r="J73" s="59">
        <f t="shared" ref="J73:J74" si="75">H73/I73</f>
        <v>0.26862425231103859</v>
      </c>
      <c r="K73" s="74">
        <f t="shared" ref="K73:K74" si="76">E73/(I73*1000)</f>
        <v>9.2626101141924959</v>
      </c>
      <c r="L73" s="57">
        <f t="shared" ref="L73:L74" si="77">I73*1000/31</f>
        <v>59.322580645161288</v>
      </c>
      <c r="M73" s="78">
        <f t="shared" ref="M73:M74" si="78">L73*K73</f>
        <v>549.48193548387098</v>
      </c>
      <c r="O73" s="193" t="s">
        <v>117</v>
      </c>
      <c r="P73" s="32">
        <v>1564</v>
      </c>
      <c r="Q73" s="32">
        <v>1302</v>
      </c>
      <c r="R73" s="123"/>
    </row>
    <row r="74" spans="2:18" s="4" customFormat="1" ht="12.75" thickBot="1" x14ac:dyDescent="0.25">
      <c r="B74" s="289" t="s">
        <v>182</v>
      </c>
      <c r="C74" s="290">
        <v>6380.69</v>
      </c>
      <c r="D74" s="290">
        <f t="shared" si="72"/>
        <v>10574.560000000001</v>
      </c>
      <c r="E74" s="291">
        <v>16955.25</v>
      </c>
      <c r="F74" s="292">
        <f t="shared" si="73"/>
        <v>0.62367467303637525</v>
      </c>
      <c r="G74" s="294">
        <v>1.625</v>
      </c>
      <c r="H74" s="308">
        <v>0.92600000000000005</v>
      </c>
      <c r="I74" s="295">
        <f t="shared" si="74"/>
        <v>2.5510000000000002</v>
      </c>
      <c r="J74" s="292">
        <f t="shared" si="75"/>
        <v>0.36299490395923167</v>
      </c>
      <c r="K74" s="296">
        <f t="shared" si="76"/>
        <v>6.6465111720893768</v>
      </c>
      <c r="L74" s="290">
        <f t="shared" si="77"/>
        <v>82.290322580645167</v>
      </c>
      <c r="M74" s="297">
        <f t="shared" si="78"/>
        <v>546.94354838709683</v>
      </c>
      <c r="O74" s="32" t="s">
        <v>140</v>
      </c>
      <c r="P74" s="32">
        <v>1351</v>
      </c>
      <c r="Q74" s="32">
        <v>1124</v>
      </c>
      <c r="R74" s="123"/>
    </row>
    <row r="75" spans="2:18" s="4" customFormat="1" ht="12.75" thickTop="1" x14ac:dyDescent="0.2">
      <c r="B75" s="63" t="s">
        <v>6</v>
      </c>
      <c r="C75" s="64">
        <v>4842.12</v>
      </c>
      <c r="D75" s="64">
        <f>12405.68+145.91</f>
        <v>12551.59</v>
      </c>
      <c r="E75" s="65">
        <f t="shared" si="23"/>
        <v>17393.71</v>
      </c>
      <c r="F75" s="66">
        <f t="shared" si="15"/>
        <v>0.72161660738278377</v>
      </c>
      <c r="G75" s="67">
        <v>2.0659999999999998</v>
      </c>
      <c r="H75" s="67">
        <v>2.1949999999999998</v>
      </c>
      <c r="I75" s="68">
        <f t="shared" si="1"/>
        <v>4.2609999999999992</v>
      </c>
      <c r="J75" s="66">
        <f t="shared" si="2"/>
        <v>0.51513729171555978</v>
      </c>
      <c r="K75" s="75">
        <f t="shared" si="3"/>
        <v>4.0820722835015264</v>
      </c>
      <c r="L75" s="57">
        <f t="shared" ref="L75:L81" si="79">I75*1000/30</f>
        <v>142.0333333333333</v>
      </c>
      <c r="M75" s="78">
        <f>L75*K75</f>
        <v>579.79033333333336</v>
      </c>
      <c r="O75" s="32" t="s">
        <v>157</v>
      </c>
      <c r="P75" s="288">
        <v>3813.66</v>
      </c>
      <c r="Q75" s="288">
        <v>2426.29</v>
      </c>
      <c r="R75" s="32" t="s">
        <v>159</v>
      </c>
    </row>
    <row r="76" spans="2:18" s="3" customFormat="1" x14ac:dyDescent="0.2">
      <c r="B76" s="56" t="s">
        <v>7</v>
      </c>
      <c r="C76" s="57">
        <v>3317.75</v>
      </c>
      <c r="D76" s="57">
        <f>11866.16+106.36</f>
        <v>11972.52</v>
      </c>
      <c r="E76" s="58">
        <v>15286.27</v>
      </c>
      <c r="F76" s="59">
        <f t="shared" si="15"/>
        <v>0.7832204978716194</v>
      </c>
      <c r="G76" s="60">
        <v>2.21</v>
      </c>
      <c r="H76" s="61">
        <v>0.89600000000000002</v>
      </c>
      <c r="I76" s="62">
        <f t="shared" si="1"/>
        <v>3.1059999999999999</v>
      </c>
      <c r="J76" s="59">
        <f t="shared" si="2"/>
        <v>0.28847392144236961</v>
      </c>
      <c r="K76" s="74">
        <f t="shared" si="3"/>
        <v>4.9215292981326471</v>
      </c>
      <c r="L76" s="57">
        <f t="shared" si="79"/>
        <v>103.53333333333333</v>
      </c>
      <c r="M76" s="78">
        <f t="shared" ref="M76:M81" si="80">L76*K76</f>
        <v>509.54233333333337</v>
      </c>
      <c r="N76" s="6"/>
      <c r="O76" s="307" t="s">
        <v>175</v>
      </c>
      <c r="P76" s="254">
        <v>6000</v>
      </c>
      <c r="Q76" s="254">
        <v>6000</v>
      </c>
      <c r="R76" s="287" t="s">
        <v>194</v>
      </c>
    </row>
    <row r="77" spans="2:18" s="3" customFormat="1" x14ac:dyDescent="0.2">
      <c r="B77" s="56" t="s">
        <v>43</v>
      </c>
      <c r="C77" s="57">
        <v>6611.49</v>
      </c>
      <c r="D77" s="57">
        <f t="shared" ref="D77:D81" si="81">E77-C77</f>
        <v>14462.51</v>
      </c>
      <c r="E77" s="58">
        <v>21074</v>
      </c>
      <c r="F77" s="59">
        <f t="shared" si="15"/>
        <v>0.68627265825187433</v>
      </c>
      <c r="G77" s="60">
        <v>1.282</v>
      </c>
      <c r="H77" s="61">
        <v>7.2489999999999997</v>
      </c>
      <c r="I77" s="62">
        <f t="shared" si="1"/>
        <v>8.5309999999999988</v>
      </c>
      <c r="J77" s="59">
        <f t="shared" si="2"/>
        <v>0.84972453405227999</v>
      </c>
      <c r="K77" s="74">
        <f t="shared" si="3"/>
        <v>2.4702848435118985</v>
      </c>
      <c r="L77" s="57">
        <f t="shared" si="79"/>
        <v>284.36666666666662</v>
      </c>
      <c r="M77" s="78">
        <f t="shared" si="80"/>
        <v>702.4666666666667</v>
      </c>
      <c r="N77" s="6"/>
      <c r="O77" s="309"/>
      <c r="P77" s="32"/>
      <c r="Q77" s="32"/>
      <c r="R77" s="117" t="s">
        <v>195</v>
      </c>
    </row>
    <row r="78" spans="2:18" s="4" customFormat="1" x14ac:dyDescent="0.2">
      <c r="B78" s="56" t="s">
        <v>59</v>
      </c>
      <c r="C78" s="57">
        <v>2969.13</v>
      </c>
      <c r="D78" s="57">
        <f t="shared" si="81"/>
        <v>9873.02</v>
      </c>
      <c r="E78" s="58">
        <v>12842.15</v>
      </c>
      <c r="F78" s="59">
        <f t="shared" si="15"/>
        <v>0.76879805951495661</v>
      </c>
      <c r="G78" s="60">
        <v>1.2649999999999999</v>
      </c>
      <c r="H78" s="61">
        <v>1.268</v>
      </c>
      <c r="I78" s="62">
        <f t="shared" si="1"/>
        <v>2.5329999999999999</v>
      </c>
      <c r="J78" s="59">
        <f t="shared" si="2"/>
        <v>0.50059218318199761</v>
      </c>
      <c r="K78" s="74">
        <f t="shared" si="3"/>
        <v>5.0699368337939203</v>
      </c>
      <c r="L78" s="57">
        <f t="shared" si="79"/>
        <v>84.433333333333337</v>
      </c>
      <c r="M78" s="78">
        <f t="shared" si="80"/>
        <v>428.07166666666672</v>
      </c>
      <c r="O78" s="32"/>
      <c r="P78" s="192"/>
      <c r="Q78" s="32"/>
      <c r="R78" s="124"/>
    </row>
    <row r="79" spans="2:18" s="4" customFormat="1" x14ac:dyDescent="0.2">
      <c r="B79" s="159" t="s">
        <v>76</v>
      </c>
      <c r="C79" s="130">
        <v>4603.6899999999996</v>
      </c>
      <c r="D79" s="130">
        <f t="shared" si="81"/>
        <v>11834.310000000001</v>
      </c>
      <c r="E79" s="131">
        <v>16438</v>
      </c>
      <c r="F79" s="132">
        <f t="shared" si="15"/>
        <v>0.71993612361601178</v>
      </c>
      <c r="G79" s="133">
        <v>1.29</v>
      </c>
      <c r="H79" s="134">
        <v>2.0369999999999999</v>
      </c>
      <c r="I79" s="135">
        <f t="shared" si="1"/>
        <v>3.327</v>
      </c>
      <c r="J79" s="132">
        <f t="shared" si="2"/>
        <v>0.61226330027051401</v>
      </c>
      <c r="K79" s="136">
        <f t="shared" si="3"/>
        <v>4.9407874962428613</v>
      </c>
      <c r="L79" s="130">
        <f t="shared" si="79"/>
        <v>110.9</v>
      </c>
      <c r="M79" s="137">
        <f t="shared" si="80"/>
        <v>547.93333333333339</v>
      </c>
      <c r="O79" s="193"/>
      <c r="P79" s="32"/>
      <c r="Q79" s="192"/>
      <c r="R79" s="5"/>
    </row>
    <row r="80" spans="2:18" s="4" customFormat="1" x14ac:dyDescent="0.2">
      <c r="B80" s="159" t="s">
        <v>132</v>
      </c>
      <c r="C80" s="130">
        <v>3960</v>
      </c>
      <c r="D80" s="130">
        <f t="shared" si="81"/>
        <v>9071</v>
      </c>
      <c r="E80" s="131">
        <v>13031</v>
      </c>
      <c r="F80" s="132">
        <f t="shared" si="15"/>
        <v>0.69610927787583454</v>
      </c>
      <c r="G80" s="133">
        <v>1.306</v>
      </c>
      <c r="H80" s="134">
        <v>0.94499999999999995</v>
      </c>
      <c r="I80" s="135">
        <f t="shared" si="1"/>
        <v>2.2509999999999999</v>
      </c>
      <c r="J80" s="132">
        <f t="shared" si="2"/>
        <v>0.41981341625944024</v>
      </c>
      <c r="K80" s="136">
        <f t="shared" si="3"/>
        <v>5.7889826743669479</v>
      </c>
      <c r="L80" s="130">
        <f t="shared" si="79"/>
        <v>75.033333333333331</v>
      </c>
      <c r="M80" s="137">
        <f t="shared" si="80"/>
        <v>434.36666666666667</v>
      </c>
      <c r="O80" s="185"/>
      <c r="P80" s="185"/>
      <c r="Q80" s="185"/>
      <c r="R80" s="5"/>
    </row>
    <row r="81" spans="2:21" s="4" customFormat="1" x14ac:dyDescent="0.2">
      <c r="B81" s="56" t="s">
        <v>152</v>
      </c>
      <c r="C81" s="57">
        <v>5200</v>
      </c>
      <c r="D81" s="57">
        <f t="shared" si="81"/>
        <v>10089</v>
      </c>
      <c r="E81" s="58">
        <v>15289</v>
      </c>
      <c r="F81" s="59">
        <f t="shared" si="15"/>
        <v>0.65988619268755311</v>
      </c>
      <c r="G81" s="60">
        <v>1.286</v>
      </c>
      <c r="H81" s="61">
        <v>2.278</v>
      </c>
      <c r="I81" s="62">
        <f t="shared" si="1"/>
        <v>3.5640000000000001</v>
      </c>
      <c r="J81" s="59">
        <f t="shared" si="2"/>
        <v>0.63916947250280587</v>
      </c>
      <c r="K81" s="74">
        <f t="shared" si="3"/>
        <v>4.2898428731762062</v>
      </c>
      <c r="L81" s="57">
        <f t="shared" si="79"/>
        <v>118.8</v>
      </c>
      <c r="M81" s="78">
        <f t="shared" si="80"/>
        <v>509.63333333333327</v>
      </c>
      <c r="O81" s="163"/>
      <c r="P81" s="257"/>
      <c r="Q81" s="257"/>
      <c r="R81" s="163"/>
    </row>
    <row r="82" spans="2:21" s="4" customFormat="1" x14ac:dyDescent="0.2">
      <c r="B82" s="56" t="s">
        <v>170</v>
      </c>
      <c r="C82" s="57">
        <v>10508</v>
      </c>
      <c r="D82" s="57">
        <f t="shared" ref="D82:D83" si="82">E82-C82</f>
        <v>13191.34</v>
      </c>
      <c r="E82" s="58">
        <v>23699.34</v>
      </c>
      <c r="F82" s="59">
        <f t="shared" ref="F82:F83" si="83">D82/E82</f>
        <v>0.55661212506339841</v>
      </c>
      <c r="G82" s="60">
        <v>1.2869999999999999</v>
      </c>
      <c r="H82" s="61">
        <v>2.3079999999999998</v>
      </c>
      <c r="I82" s="62">
        <f t="shared" ref="I82:I83" si="84">G82+H82</f>
        <v>3.5949999999999998</v>
      </c>
      <c r="J82" s="59">
        <f t="shared" ref="J82:J83" si="85">H82/I82</f>
        <v>0.64200278164116831</v>
      </c>
      <c r="K82" s="74">
        <f t="shared" ref="K82:K83" si="86">E82/(I82*1000)</f>
        <v>6.5923059805285131</v>
      </c>
      <c r="L82" s="57">
        <f t="shared" ref="L82:L83" si="87">I82*1000/30</f>
        <v>119.83333333333331</v>
      </c>
      <c r="M82" s="78">
        <f t="shared" ref="M82:M83" si="88">L82*K82</f>
        <v>789.97800000000007</v>
      </c>
      <c r="O82" s="163"/>
      <c r="P82" s="257"/>
      <c r="Q82" s="257"/>
      <c r="R82" s="163"/>
    </row>
    <row r="83" spans="2:21" s="4" customFormat="1" ht="12.75" thickBot="1" x14ac:dyDescent="0.25">
      <c r="B83" s="289" t="s">
        <v>183</v>
      </c>
      <c r="C83" s="290">
        <v>5633.39</v>
      </c>
      <c r="D83" s="290">
        <f t="shared" si="82"/>
        <v>9630.9399999999987</v>
      </c>
      <c r="E83" s="291">
        <v>15264.33</v>
      </c>
      <c r="F83" s="292">
        <f t="shared" si="83"/>
        <v>0.63094416852885116</v>
      </c>
      <c r="G83" s="294">
        <v>1.3140000000000001</v>
      </c>
      <c r="H83" s="308">
        <v>0.72499999999999998</v>
      </c>
      <c r="I83" s="295">
        <f t="shared" si="84"/>
        <v>2.0390000000000001</v>
      </c>
      <c r="J83" s="292">
        <f t="shared" si="85"/>
        <v>0.3555664541441883</v>
      </c>
      <c r="K83" s="296">
        <f t="shared" si="86"/>
        <v>7.4861844041196655</v>
      </c>
      <c r="L83" s="290">
        <f t="shared" si="87"/>
        <v>67.966666666666669</v>
      </c>
      <c r="M83" s="297">
        <f t="shared" si="88"/>
        <v>508.81099999999992</v>
      </c>
      <c r="O83" s="121"/>
      <c r="P83" s="122" t="s">
        <v>65</v>
      </c>
      <c r="Q83" s="122" t="s">
        <v>66</v>
      </c>
      <c r="R83" s="120"/>
    </row>
    <row r="84" spans="2:21" s="3" customFormat="1" ht="12.75" thickTop="1" x14ac:dyDescent="0.2">
      <c r="B84" s="63" t="s">
        <v>8</v>
      </c>
      <c r="C84" s="64">
        <v>17549.59</v>
      </c>
      <c r="D84" s="64">
        <f>28054.2+580.49</f>
        <v>28634.690000000002</v>
      </c>
      <c r="E84" s="65">
        <f t="shared" si="23"/>
        <v>46184.28</v>
      </c>
      <c r="F84" s="66">
        <f t="shared" si="15"/>
        <v>0.62000944910259514</v>
      </c>
      <c r="G84" s="67">
        <v>4.8339999999999996</v>
      </c>
      <c r="H84" s="67">
        <v>12.114000000000001</v>
      </c>
      <c r="I84" s="68">
        <f t="shared" ref="I84:I93" si="89">G84+H84</f>
        <v>16.948</v>
      </c>
      <c r="J84" s="66">
        <f t="shared" ref="J84:J96" si="90">H84/I84</f>
        <v>0.71477460467311782</v>
      </c>
      <c r="K84" s="75">
        <f t="shared" ref="K84:K96" si="91">E84/(I84*1000)</f>
        <v>2.7250578239320271</v>
      </c>
      <c r="L84" s="57">
        <f t="shared" ref="L84:L91" si="92">I84*1000/31</f>
        <v>546.70967741935488</v>
      </c>
      <c r="M84" s="78">
        <f>L84*K84</f>
        <v>1489.8154838709677</v>
      </c>
      <c r="N84" s="6"/>
      <c r="O84" s="121"/>
      <c r="P84" s="122"/>
      <c r="Q84" s="122"/>
      <c r="R84" s="120"/>
      <c r="S84" s="4"/>
      <c r="T84" s="4"/>
      <c r="U84" s="4"/>
    </row>
    <row r="85" spans="2:21" s="3" customFormat="1" x14ac:dyDescent="0.2">
      <c r="B85" s="56" t="s">
        <v>9</v>
      </c>
      <c r="C85" s="57">
        <v>12856.58</v>
      </c>
      <c r="D85" s="57">
        <f>23549.93+515.76</f>
        <v>24065.69</v>
      </c>
      <c r="E85" s="58">
        <f>SUM(C85:D85)</f>
        <v>36922.269999999997</v>
      </c>
      <c r="F85" s="59">
        <f t="shared" si="15"/>
        <v>0.65179334856713855</v>
      </c>
      <c r="G85" s="60">
        <v>3.3</v>
      </c>
      <c r="H85" s="61">
        <v>11.762</v>
      </c>
      <c r="I85" s="62">
        <f t="shared" si="89"/>
        <v>15.062000000000001</v>
      </c>
      <c r="J85" s="59">
        <f t="shared" si="90"/>
        <v>0.78090559022706141</v>
      </c>
      <c r="K85" s="74">
        <f t="shared" si="91"/>
        <v>2.4513524100385071</v>
      </c>
      <c r="L85" s="57">
        <f t="shared" si="92"/>
        <v>485.87096774193554</v>
      </c>
      <c r="M85" s="78">
        <f t="shared" ref="M85:M91" si="93">L85*K85</f>
        <v>1191.0409677419354</v>
      </c>
      <c r="N85" s="6"/>
      <c r="O85" s="69" t="s">
        <v>61</v>
      </c>
      <c r="P85" s="70">
        <v>1155</v>
      </c>
      <c r="Q85" s="70">
        <v>736</v>
      </c>
      <c r="R85" s="248"/>
      <c r="S85" s="248"/>
      <c r="T85" s="248"/>
      <c r="U85" s="248"/>
    </row>
    <row r="86" spans="2:21" s="4" customFormat="1" x14ac:dyDescent="0.2">
      <c r="B86" s="56" t="s">
        <v>44</v>
      </c>
      <c r="C86" s="57">
        <v>14166.6</v>
      </c>
      <c r="D86" s="57">
        <f t="shared" ref="D86:D90" si="94">E86-C86</f>
        <v>26980.020000000004</v>
      </c>
      <c r="E86" s="58">
        <v>41146.620000000003</v>
      </c>
      <c r="F86" s="59">
        <f t="shared" si="15"/>
        <v>0.65570440536792574</v>
      </c>
      <c r="G86" s="60">
        <v>3.7839999999999998</v>
      </c>
      <c r="H86" s="61">
        <v>13.904999999999999</v>
      </c>
      <c r="I86" s="62">
        <f t="shared" si="89"/>
        <v>17.689</v>
      </c>
      <c r="J86" s="59">
        <f t="shared" si="90"/>
        <v>0.78608174571767764</v>
      </c>
      <c r="K86" s="74">
        <f t="shared" si="91"/>
        <v>2.3261134038102775</v>
      </c>
      <c r="L86" s="57">
        <f t="shared" si="92"/>
        <v>570.61290322580646</v>
      </c>
      <c r="M86" s="78">
        <f t="shared" si="93"/>
        <v>1327.3103225806451</v>
      </c>
      <c r="O86" s="69" t="s">
        <v>62</v>
      </c>
      <c r="P86" s="71">
        <v>985</v>
      </c>
      <c r="Q86" s="71">
        <v>627</v>
      </c>
      <c r="R86" s="46"/>
      <c r="S86" s="248"/>
      <c r="T86" s="248"/>
      <c r="U86" s="248"/>
    </row>
    <row r="87" spans="2:21" s="4" customFormat="1" x14ac:dyDescent="0.2">
      <c r="B87" s="56" t="s">
        <v>58</v>
      </c>
      <c r="C87" s="57">
        <v>12850.78</v>
      </c>
      <c r="D87" s="57">
        <f t="shared" si="94"/>
        <v>20771.22</v>
      </c>
      <c r="E87" s="58">
        <v>33622</v>
      </c>
      <c r="F87" s="59">
        <f t="shared" si="15"/>
        <v>0.61778656831836298</v>
      </c>
      <c r="G87" s="60">
        <v>2.4329999999999998</v>
      </c>
      <c r="H87" s="61">
        <v>10.265000000000001</v>
      </c>
      <c r="I87" s="62">
        <f t="shared" si="89"/>
        <v>12.698</v>
      </c>
      <c r="J87" s="59">
        <f t="shared" si="90"/>
        <v>0.80839502283824227</v>
      </c>
      <c r="K87" s="74">
        <f t="shared" si="91"/>
        <v>2.6478185541030084</v>
      </c>
      <c r="L87" s="57">
        <f t="shared" si="92"/>
        <v>409.61290322580646</v>
      </c>
      <c r="M87" s="78">
        <f t="shared" si="93"/>
        <v>1084.5806451612902</v>
      </c>
      <c r="O87" s="72" t="s">
        <v>63</v>
      </c>
      <c r="P87" s="201">
        <v>926</v>
      </c>
      <c r="Q87" s="201">
        <v>590</v>
      </c>
      <c r="R87" s="46"/>
    </row>
    <row r="88" spans="2:21" s="3" customFormat="1" x14ac:dyDescent="0.2">
      <c r="B88" s="159" t="s">
        <v>77</v>
      </c>
      <c r="C88" s="130">
        <v>15292.1</v>
      </c>
      <c r="D88" s="130">
        <f t="shared" si="94"/>
        <v>23494.9</v>
      </c>
      <c r="E88" s="131">
        <v>38787</v>
      </c>
      <c r="F88" s="132">
        <f t="shared" si="15"/>
        <v>0.60574161445845265</v>
      </c>
      <c r="G88" s="133">
        <v>2.3559999999999999</v>
      </c>
      <c r="H88" s="134">
        <v>9.7680000000000007</v>
      </c>
      <c r="I88" s="135">
        <f t="shared" si="89"/>
        <v>12.124000000000001</v>
      </c>
      <c r="J88" s="132">
        <f t="shared" si="90"/>
        <v>0.80567469482019138</v>
      </c>
      <c r="K88" s="136">
        <f t="shared" si="91"/>
        <v>3.1991916859122402</v>
      </c>
      <c r="L88" s="130">
        <f t="shared" si="92"/>
        <v>391.09677419354841</v>
      </c>
      <c r="M88" s="137">
        <f t="shared" si="93"/>
        <v>1251.1935483870968</v>
      </c>
      <c r="N88" s="6"/>
      <c r="O88" s="121" t="s">
        <v>64</v>
      </c>
      <c r="P88" s="8">
        <v>1184</v>
      </c>
      <c r="Q88" s="8">
        <v>754</v>
      </c>
      <c r="R88" s="46"/>
      <c r="S88" s="4"/>
      <c r="T88" s="4"/>
      <c r="U88" s="4"/>
    </row>
    <row r="89" spans="2:21" s="128" customFormat="1" x14ac:dyDescent="0.2">
      <c r="B89" s="159" t="s">
        <v>133</v>
      </c>
      <c r="C89" s="130">
        <v>21350</v>
      </c>
      <c r="D89" s="130">
        <f t="shared" si="94"/>
        <v>19161</v>
      </c>
      <c r="E89" s="131">
        <v>40511</v>
      </c>
      <c r="F89" s="132">
        <f t="shared" si="15"/>
        <v>0.47298264668855372</v>
      </c>
      <c r="G89" s="133">
        <v>1.446</v>
      </c>
      <c r="H89" s="134">
        <v>11.815</v>
      </c>
      <c r="I89" s="135">
        <f t="shared" si="89"/>
        <v>13.260999999999999</v>
      </c>
      <c r="J89" s="132">
        <f t="shared" si="90"/>
        <v>0.89095844958902048</v>
      </c>
      <c r="K89" s="136">
        <f t="shared" si="91"/>
        <v>3.0548978206771737</v>
      </c>
      <c r="L89" s="130">
        <f t="shared" si="92"/>
        <v>427.77419354838707</v>
      </c>
      <c r="M89" s="137">
        <f t="shared" si="93"/>
        <v>1306.8064516129032</v>
      </c>
      <c r="O89" s="8" t="s">
        <v>67</v>
      </c>
      <c r="P89" s="8">
        <v>1743</v>
      </c>
      <c r="Q89" s="8">
        <v>1110</v>
      </c>
      <c r="R89" s="123"/>
      <c r="S89" s="4"/>
      <c r="T89" s="4"/>
      <c r="U89" s="4"/>
    </row>
    <row r="90" spans="2:21" s="187" customFormat="1" x14ac:dyDescent="0.2">
      <c r="B90" s="56" t="s">
        <v>153</v>
      </c>
      <c r="C90" s="57">
        <v>23427.23</v>
      </c>
      <c r="D90" s="57">
        <f t="shared" si="94"/>
        <v>25897.77</v>
      </c>
      <c r="E90" s="58">
        <v>49325</v>
      </c>
      <c r="F90" s="59">
        <f t="shared" si="15"/>
        <v>0.52504348707551951</v>
      </c>
      <c r="G90" s="60">
        <v>3.27</v>
      </c>
      <c r="H90" s="61">
        <v>13.295</v>
      </c>
      <c r="I90" s="62">
        <f t="shared" si="89"/>
        <v>16.565000000000001</v>
      </c>
      <c r="J90" s="59">
        <f t="shared" si="90"/>
        <v>0.80259583459100503</v>
      </c>
      <c r="K90" s="74">
        <f t="shared" si="91"/>
        <v>2.9776637488680953</v>
      </c>
      <c r="L90" s="57">
        <f t="shared" si="92"/>
        <v>534.35483870967744</v>
      </c>
      <c r="M90" s="78">
        <f t="shared" si="93"/>
        <v>1591.1290322580644</v>
      </c>
      <c r="O90" s="193" t="s">
        <v>117</v>
      </c>
      <c r="P90" s="32">
        <v>1564</v>
      </c>
      <c r="Q90" s="32">
        <v>1302</v>
      </c>
      <c r="R90" s="123"/>
      <c r="S90" s="4"/>
      <c r="T90" s="4"/>
      <c r="U90" s="4"/>
    </row>
    <row r="91" spans="2:21" s="248" customFormat="1" x14ac:dyDescent="0.2">
      <c r="B91" s="56" t="s">
        <v>171</v>
      </c>
      <c r="C91" s="57">
        <v>35012.81</v>
      </c>
      <c r="D91" s="57">
        <f t="shared" ref="D91" si="95">E91-C91</f>
        <v>21205.990000000005</v>
      </c>
      <c r="E91" s="58">
        <v>56218.8</v>
      </c>
      <c r="F91" s="59">
        <f t="shared" si="15"/>
        <v>0.37720460059624189</v>
      </c>
      <c r="G91" s="60">
        <v>1.944</v>
      </c>
      <c r="H91" s="61">
        <v>11.375</v>
      </c>
      <c r="I91" s="62">
        <f t="shared" si="89"/>
        <v>13.318999999999999</v>
      </c>
      <c r="J91" s="59">
        <f t="shared" si="90"/>
        <v>0.85404309632855324</v>
      </c>
      <c r="K91" s="74">
        <f t="shared" si="91"/>
        <v>4.2209475185824772</v>
      </c>
      <c r="L91" s="57">
        <f t="shared" si="92"/>
        <v>429.64516129032251</v>
      </c>
      <c r="M91" s="78">
        <f t="shared" si="93"/>
        <v>1813.5096774193551</v>
      </c>
      <c r="O91" s="32" t="s">
        <v>140</v>
      </c>
      <c r="P91" s="32">
        <v>1351</v>
      </c>
      <c r="Q91" s="32">
        <v>1124</v>
      </c>
      <c r="R91" s="123"/>
      <c r="S91" s="4"/>
      <c r="T91" s="4"/>
      <c r="U91" s="4"/>
    </row>
    <row r="92" spans="2:21" s="248" customFormat="1" ht="12.75" thickBot="1" x14ac:dyDescent="0.25">
      <c r="B92" s="289" t="s">
        <v>185</v>
      </c>
      <c r="C92" s="290"/>
      <c r="D92" s="290"/>
      <c r="E92" s="291"/>
      <c r="F92" s="292"/>
      <c r="G92" s="294"/>
      <c r="H92" s="308"/>
      <c r="I92" s="295"/>
      <c r="J92" s="292"/>
      <c r="K92" s="296"/>
      <c r="L92" s="290"/>
      <c r="M92" s="297"/>
      <c r="O92" s="32" t="s">
        <v>157</v>
      </c>
      <c r="P92" s="288">
        <v>3813.66</v>
      </c>
      <c r="Q92" s="288">
        <v>2426.29</v>
      </c>
      <c r="R92" s="32" t="s">
        <v>159</v>
      </c>
      <c r="S92" s="4"/>
      <c r="T92" s="4"/>
      <c r="U92" s="4"/>
    </row>
    <row r="93" spans="2:21" s="3" customFormat="1" ht="12.75" hidden="1" thickTop="1" x14ac:dyDescent="0.2">
      <c r="B93" s="63" t="s">
        <v>10</v>
      </c>
      <c r="C93" s="64">
        <v>22195.21</v>
      </c>
      <c r="D93" s="64">
        <f>31499.77+769.1</f>
        <v>32268.87</v>
      </c>
      <c r="E93" s="65">
        <f t="shared" si="23"/>
        <v>54464.08</v>
      </c>
      <c r="F93" s="66">
        <f t="shared" si="15"/>
        <v>0.59247985094028943</v>
      </c>
      <c r="G93" s="67">
        <v>4.3259999999999996</v>
      </c>
      <c r="H93" s="67">
        <v>18.134</v>
      </c>
      <c r="I93" s="68">
        <f t="shared" si="89"/>
        <v>22.46</v>
      </c>
      <c r="J93" s="66">
        <f t="shared" si="90"/>
        <v>0.80739091718610867</v>
      </c>
      <c r="K93" s="75">
        <f t="shared" si="91"/>
        <v>2.4249367764915406</v>
      </c>
      <c r="L93" s="64">
        <f>I93*1000/30</f>
        <v>748.66666666666663</v>
      </c>
      <c r="M93" s="147">
        <f>L93*K93</f>
        <v>1815.4693333333332</v>
      </c>
      <c r="N93" s="6"/>
      <c r="O93" s="307" t="s">
        <v>175</v>
      </c>
      <c r="P93" s="254">
        <v>6000</v>
      </c>
      <c r="Q93" s="254">
        <v>6000</v>
      </c>
      <c r="R93" s="287" t="s">
        <v>194</v>
      </c>
      <c r="S93" s="248"/>
      <c r="T93" s="248"/>
      <c r="U93" s="248"/>
    </row>
    <row r="94" spans="2:21" hidden="1" x14ac:dyDescent="0.2">
      <c r="B94" s="56" t="s">
        <v>11</v>
      </c>
      <c r="C94" s="57">
        <v>24044.29</v>
      </c>
      <c r="D94" s="57">
        <f>40018.96+961.1</f>
        <v>40980.06</v>
      </c>
      <c r="E94" s="58">
        <f>C94+D94</f>
        <v>65024.35</v>
      </c>
      <c r="F94" s="59">
        <f t="shared" si="15"/>
        <v>0.63022636904482698</v>
      </c>
      <c r="G94" s="60">
        <v>6.35</v>
      </c>
      <c r="H94" s="61">
        <v>21.716999999999999</v>
      </c>
      <c r="I94" s="62">
        <f>H94+G94</f>
        <v>28.067</v>
      </c>
      <c r="J94" s="59">
        <f t="shared" si="90"/>
        <v>0.7737556561085972</v>
      </c>
      <c r="K94" s="74">
        <f t="shared" si="91"/>
        <v>2.3167545516086507</v>
      </c>
      <c r="L94" s="57">
        <f>I94*1000/30</f>
        <v>935.56666666666672</v>
      </c>
      <c r="M94" s="78">
        <f t="shared" ref="M94:M99" si="96">L94*K94</f>
        <v>2167.4783333333335</v>
      </c>
      <c r="O94" s="185"/>
      <c r="P94" s="185"/>
      <c r="Q94" s="185"/>
      <c r="R94" s="117" t="s">
        <v>195</v>
      </c>
    </row>
    <row r="95" spans="2:21" hidden="1" x14ac:dyDescent="0.2">
      <c r="B95" s="56" t="s">
        <v>45</v>
      </c>
      <c r="C95" s="57">
        <v>20660</v>
      </c>
      <c r="D95" s="57">
        <f>E95-C95</f>
        <v>36806.86</v>
      </c>
      <c r="E95" s="58">
        <v>57466.86</v>
      </c>
      <c r="F95" s="59">
        <f t="shared" si="15"/>
        <v>0.64048844847273712</v>
      </c>
      <c r="G95" s="60">
        <v>5.32</v>
      </c>
      <c r="H95" s="60">
        <v>20.59</v>
      </c>
      <c r="I95" s="62">
        <f>H95+G95</f>
        <v>25.91</v>
      </c>
      <c r="J95" s="59">
        <f t="shared" si="90"/>
        <v>0.79467387109224241</v>
      </c>
      <c r="K95" s="74">
        <f t="shared" si="91"/>
        <v>2.2179413353917408</v>
      </c>
      <c r="L95" s="57">
        <f>I95*1000/30</f>
        <v>863.66666666666663</v>
      </c>
      <c r="M95" s="78">
        <f t="shared" si="96"/>
        <v>1915.5620000000001</v>
      </c>
      <c r="O95" s="163"/>
      <c r="P95" s="257"/>
      <c r="Q95" s="257"/>
      <c r="R95" s="163"/>
      <c r="S95" s="6"/>
      <c r="T95" s="6"/>
      <c r="U95" s="6"/>
    </row>
    <row r="96" spans="2:21" hidden="1" x14ac:dyDescent="0.2">
      <c r="B96" s="56" t="s">
        <v>57</v>
      </c>
      <c r="C96" s="57">
        <v>24796.06</v>
      </c>
      <c r="D96" s="57">
        <f>E96-C96</f>
        <v>34293.94</v>
      </c>
      <c r="E96" s="58">
        <v>59090</v>
      </c>
      <c r="F96" s="59">
        <f t="shared" si="15"/>
        <v>0.58036791335251314</v>
      </c>
      <c r="G96" s="60">
        <v>4.0620000000000003</v>
      </c>
      <c r="H96" s="60">
        <v>20.8</v>
      </c>
      <c r="I96" s="62">
        <f>H96+G96</f>
        <v>24.862000000000002</v>
      </c>
      <c r="J96" s="59">
        <f t="shared" si="90"/>
        <v>0.83661813208913194</v>
      </c>
      <c r="K96" s="74">
        <f t="shared" si="91"/>
        <v>2.3767194915935965</v>
      </c>
      <c r="L96" s="57">
        <f>I96*1000/30</f>
        <v>828.73333333333346</v>
      </c>
      <c r="M96" s="78">
        <f t="shared" si="96"/>
        <v>1969.666666666667</v>
      </c>
      <c r="O96" s="124"/>
      <c r="P96" s="124"/>
      <c r="Q96" s="124"/>
      <c r="R96" s="310"/>
      <c r="S96" s="6"/>
      <c r="T96" s="6"/>
      <c r="U96" s="6"/>
    </row>
    <row r="97" spans="2:21" hidden="1" x14ac:dyDescent="0.2">
      <c r="B97" s="159" t="s">
        <v>78</v>
      </c>
      <c r="C97" s="130">
        <v>30248.37</v>
      </c>
      <c r="D97" s="130">
        <v>39082.630000000005</v>
      </c>
      <c r="E97" s="131">
        <v>69331</v>
      </c>
      <c r="F97" s="132">
        <f t="shared" si="15"/>
        <v>0.56371074988100567</v>
      </c>
      <c r="G97" s="133">
        <v>3.419</v>
      </c>
      <c r="H97" s="134">
        <v>21.253</v>
      </c>
      <c r="I97" s="135">
        <v>24.672000000000001</v>
      </c>
      <c r="J97" s="132">
        <v>0.86142185473411148</v>
      </c>
      <c r="K97" s="136">
        <v>2.810108625162127</v>
      </c>
      <c r="L97" s="130">
        <v>822.4</v>
      </c>
      <c r="M97" s="137">
        <v>2311.0333333333333</v>
      </c>
      <c r="O97" s="248"/>
      <c r="P97" s="248"/>
      <c r="Q97" s="248"/>
      <c r="R97" s="216"/>
    </row>
    <row r="98" spans="2:21" hidden="1" x14ac:dyDescent="0.2">
      <c r="B98" s="159" t="s">
        <v>134</v>
      </c>
      <c r="C98" s="130">
        <v>32453</v>
      </c>
      <c r="D98" s="130">
        <f>E98-C98</f>
        <v>26115</v>
      </c>
      <c r="E98" s="131">
        <v>58568</v>
      </c>
      <c r="F98" s="132">
        <f t="shared" si="15"/>
        <v>0.44589195465100395</v>
      </c>
      <c r="G98" s="133">
        <v>1.7969999999999999</v>
      </c>
      <c r="H98" s="134">
        <v>18.440999999999999</v>
      </c>
      <c r="I98" s="135">
        <f>H98+G98</f>
        <v>20.238</v>
      </c>
      <c r="J98" s="132">
        <f>H98/I98</f>
        <v>0.91120664097242809</v>
      </c>
      <c r="K98" s="136">
        <f>E98/I98/1000</f>
        <v>2.8939618539381362</v>
      </c>
      <c r="L98" s="130">
        <f>I98*1000/30</f>
        <v>674.6</v>
      </c>
      <c r="M98" s="137">
        <f t="shared" si="96"/>
        <v>1952.2666666666667</v>
      </c>
      <c r="N98" s="128"/>
      <c r="S98" s="128"/>
      <c r="T98" s="128"/>
      <c r="U98" s="128"/>
    </row>
    <row r="99" spans="2:21" hidden="1" x14ac:dyDescent="0.2">
      <c r="B99" s="56" t="s">
        <v>154</v>
      </c>
      <c r="C99" s="57">
        <v>31029</v>
      </c>
      <c r="D99" s="57">
        <f>E99-C99</f>
        <v>31956</v>
      </c>
      <c r="E99" s="58">
        <v>62985</v>
      </c>
      <c r="F99" s="59">
        <f t="shared" si="15"/>
        <v>0.50735889497499409</v>
      </c>
      <c r="G99" s="60">
        <v>5.0949999999999998</v>
      </c>
      <c r="H99" s="61">
        <v>21.481999999999999</v>
      </c>
      <c r="I99" s="62">
        <f>H99+G99</f>
        <v>26.576999999999998</v>
      </c>
      <c r="J99" s="59">
        <f>H99/I99</f>
        <v>0.80829288482522488</v>
      </c>
      <c r="K99" s="74">
        <f>E99/I99/1000</f>
        <v>2.3699063099672655</v>
      </c>
      <c r="L99" s="57">
        <f>I99*1000/30</f>
        <v>885.9</v>
      </c>
      <c r="M99" s="78">
        <f t="shared" si="96"/>
        <v>2099.5000000000005</v>
      </c>
      <c r="N99" s="187"/>
      <c r="O99" s="121"/>
      <c r="P99" s="122" t="s">
        <v>65</v>
      </c>
      <c r="Q99" s="122" t="s">
        <v>66</v>
      </c>
      <c r="R99" s="120"/>
      <c r="S99" s="187"/>
      <c r="T99" s="187"/>
      <c r="U99" s="187"/>
    </row>
    <row r="100" spans="2:21" hidden="1" x14ac:dyDescent="0.2">
      <c r="B100" s="321" t="s">
        <v>172</v>
      </c>
      <c r="C100" s="80">
        <v>57406</v>
      </c>
      <c r="D100" s="80">
        <f>E100-C100</f>
        <v>31975.089999999997</v>
      </c>
      <c r="E100" s="58">
        <v>89381.09</v>
      </c>
      <c r="F100" s="322">
        <f t="shared" ref="F100" si="97">D100/E100</f>
        <v>0.35773886847878</v>
      </c>
      <c r="G100" s="323">
        <v>3.379</v>
      </c>
      <c r="H100" s="324">
        <v>18.349</v>
      </c>
      <c r="I100" s="62">
        <f>H100+G100</f>
        <v>21.728000000000002</v>
      </c>
      <c r="J100" s="322">
        <f>H100/I100</f>
        <v>0.84448637702503682</v>
      </c>
      <c r="K100" s="325">
        <f>E100/I100/1000</f>
        <v>4.1136363217967595</v>
      </c>
      <c r="L100" s="80">
        <f>I100*1000/30</f>
        <v>724.26666666666665</v>
      </c>
      <c r="M100" s="81">
        <f t="shared" ref="M100" si="98">L100*K100</f>
        <v>2979.3696666666665</v>
      </c>
      <c r="N100" s="248"/>
      <c r="O100" s="121"/>
      <c r="P100" s="122"/>
      <c r="Q100" s="122"/>
      <c r="R100" s="120"/>
      <c r="S100" s="248"/>
      <c r="T100" s="248"/>
      <c r="U100" s="248"/>
    </row>
    <row r="101" spans="2:21" ht="12.75" hidden="1" thickBot="1" x14ac:dyDescent="0.25">
      <c r="B101" s="289" t="s">
        <v>187</v>
      </c>
      <c r="C101" s="290"/>
      <c r="D101" s="290"/>
      <c r="E101" s="291"/>
      <c r="F101" s="292"/>
      <c r="G101" s="294"/>
      <c r="H101" s="308"/>
      <c r="I101" s="295"/>
      <c r="J101" s="292"/>
      <c r="K101" s="296"/>
      <c r="L101" s="290"/>
      <c r="M101" s="297"/>
      <c r="N101" s="248"/>
      <c r="O101" s="69" t="s">
        <v>61</v>
      </c>
      <c r="P101" s="70">
        <v>1155</v>
      </c>
      <c r="Q101" s="70">
        <v>736</v>
      </c>
      <c r="R101" s="248"/>
      <c r="S101" s="248"/>
      <c r="T101" s="248"/>
      <c r="U101" s="248"/>
    </row>
    <row r="102" spans="2:21" ht="12.75" hidden="1" thickTop="1" x14ac:dyDescent="0.2">
      <c r="B102" s="63" t="s">
        <v>12</v>
      </c>
      <c r="C102" s="64">
        <v>28628.97</v>
      </c>
      <c r="D102" s="64">
        <v>39147.06</v>
      </c>
      <c r="E102" s="65">
        <v>67776.03</v>
      </c>
      <c r="F102" s="66">
        <f t="shared" si="15"/>
        <v>0.57759446813276016</v>
      </c>
      <c r="G102" s="67">
        <v>4.8710000000000004</v>
      </c>
      <c r="H102" s="67">
        <v>24.501999999999999</v>
      </c>
      <c r="I102" s="68">
        <f>G102+H102</f>
        <v>29.372999999999998</v>
      </c>
      <c r="J102" s="66">
        <f>H102/I102</f>
        <v>0.83416743267626736</v>
      </c>
      <c r="K102" s="75">
        <f>E102/(I102*1000)</f>
        <v>2.3074262077418037</v>
      </c>
      <c r="L102" s="57">
        <f>I102*1000/31</f>
        <v>947.51612903225794</v>
      </c>
      <c r="M102" s="78">
        <f>L102*K102</f>
        <v>2186.3235483870967</v>
      </c>
      <c r="O102" s="69" t="s">
        <v>62</v>
      </c>
      <c r="P102" s="71">
        <v>985</v>
      </c>
      <c r="Q102" s="71">
        <v>627</v>
      </c>
      <c r="R102" s="46"/>
    </row>
    <row r="103" spans="2:21" hidden="1" x14ac:dyDescent="0.2">
      <c r="B103" s="56" t="s">
        <v>13</v>
      </c>
      <c r="C103" s="57">
        <v>28220.58</v>
      </c>
      <c r="D103" s="57">
        <v>45272.91</v>
      </c>
      <c r="E103" s="58">
        <v>74632</v>
      </c>
      <c r="F103" s="59">
        <f t="shared" si="15"/>
        <v>0.60661525887018974</v>
      </c>
      <c r="G103" s="61">
        <v>6.9169999999999998</v>
      </c>
      <c r="H103" s="61">
        <v>26.331</v>
      </c>
      <c r="I103" s="62">
        <v>33.247999999999998</v>
      </c>
      <c r="J103" s="59">
        <v>0.7919574109720886</v>
      </c>
      <c r="K103" s="74">
        <v>2.2447064485081811</v>
      </c>
      <c r="L103" s="57">
        <f>I103*1000/31</f>
        <v>1072.516129032258</v>
      </c>
      <c r="M103" s="78">
        <f t="shared" ref="M103:M106" si="99">L103*K103</f>
        <v>2407.483870967742</v>
      </c>
      <c r="O103" s="72" t="s">
        <v>63</v>
      </c>
      <c r="P103" s="201">
        <v>926</v>
      </c>
      <c r="Q103" s="201">
        <v>590</v>
      </c>
      <c r="R103" s="46"/>
    </row>
    <row r="104" spans="2:21" hidden="1" x14ac:dyDescent="0.2">
      <c r="B104" s="56" t="s">
        <v>46</v>
      </c>
      <c r="C104" s="57">
        <v>28751</v>
      </c>
      <c r="D104" s="57">
        <f>E104-C104</f>
        <v>48587.789999999994</v>
      </c>
      <c r="E104" s="58">
        <v>77338.789999999994</v>
      </c>
      <c r="F104" s="59">
        <f t="shared" si="15"/>
        <v>0.62824605867249794</v>
      </c>
      <c r="G104" s="60">
        <v>6.9279999999999999</v>
      </c>
      <c r="H104" s="60">
        <v>29.4</v>
      </c>
      <c r="I104" s="62">
        <f>H104+G104</f>
        <v>36.327999999999996</v>
      </c>
      <c r="J104" s="59">
        <f>H104/I104</f>
        <v>0.80929310724510028</v>
      </c>
      <c r="K104" s="74">
        <f>E104/I104/1000</f>
        <v>2.1289030499889892</v>
      </c>
      <c r="L104" s="57">
        <f>I104*1000/31</f>
        <v>1171.8709677419351</v>
      </c>
      <c r="M104" s="78">
        <f t="shared" si="99"/>
        <v>2494.7996774193539</v>
      </c>
      <c r="O104" s="121" t="s">
        <v>64</v>
      </c>
      <c r="P104" s="8">
        <v>1184</v>
      </c>
      <c r="Q104" s="8">
        <v>754</v>
      </c>
      <c r="R104" s="46"/>
    </row>
    <row r="105" spans="2:21" hidden="1" x14ac:dyDescent="0.2">
      <c r="B105" s="56" t="s">
        <v>56</v>
      </c>
      <c r="C105" s="57">
        <v>34751.97</v>
      </c>
      <c r="D105" s="57">
        <f>E105-C105</f>
        <v>46102.59</v>
      </c>
      <c r="E105" s="58">
        <v>80854.559999999998</v>
      </c>
      <c r="F105" s="59">
        <f t="shared" si="15"/>
        <v>0.57019158845215401</v>
      </c>
      <c r="G105" s="60">
        <v>5.7549999999999999</v>
      </c>
      <c r="H105" s="61">
        <v>29.053999999999998</v>
      </c>
      <c r="I105" s="62">
        <f>H105+G105</f>
        <v>34.808999999999997</v>
      </c>
      <c r="J105" s="59">
        <f>H105/I105</f>
        <v>0.83466919474848456</v>
      </c>
      <c r="K105" s="74">
        <f>E105/I105/1000</f>
        <v>2.3228061708178922</v>
      </c>
      <c r="L105" s="57">
        <f>I105*1000/31</f>
        <v>1122.8709677419354</v>
      </c>
      <c r="M105" s="78">
        <f t="shared" si="99"/>
        <v>2608.2116129032261</v>
      </c>
      <c r="O105" s="8" t="s">
        <v>67</v>
      </c>
      <c r="P105" s="8">
        <v>1743</v>
      </c>
      <c r="Q105" s="8">
        <v>1110</v>
      </c>
      <c r="R105" s="123"/>
    </row>
    <row r="106" spans="2:21" hidden="1" x14ac:dyDescent="0.2">
      <c r="B106" s="173" t="s">
        <v>79</v>
      </c>
      <c r="C106" s="167">
        <v>28633.63</v>
      </c>
      <c r="D106" s="167">
        <v>47585.369999999995</v>
      </c>
      <c r="E106" s="58">
        <v>76219</v>
      </c>
      <c r="F106" s="168">
        <f t="shared" si="15"/>
        <v>0.62432424985895896</v>
      </c>
      <c r="G106" s="169">
        <v>3.2040000000000002</v>
      </c>
      <c r="H106" s="170">
        <v>25.172000000000001</v>
      </c>
      <c r="I106" s="62">
        <v>28.376000000000001</v>
      </c>
      <c r="J106" s="168">
        <v>0.88708767972934877</v>
      </c>
      <c r="K106" s="171">
        <v>2.6860374964758948</v>
      </c>
      <c r="L106" s="167">
        <f>I106/31*1000</f>
        <v>915.35483870967744</v>
      </c>
      <c r="M106" s="172">
        <f t="shared" si="99"/>
        <v>2458.6774193548385</v>
      </c>
      <c r="O106" s="193" t="s">
        <v>117</v>
      </c>
      <c r="P106" s="32">
        <v>1564</v>
      </c>
      <c r="Q106" s="32">
        <v>1302</v>
      </c>
      <c r="R106" s="123"/>
    </row>
    <row r="107" spans="2:21" hidden="1" x14ac:dyDescent="0.2">
      <c r="B107" s="173" t="s">
        <v>135</v>
      </c>
      <c r="C107" s="167">
        <v>44235.45</v>
      </c>
      <c r="D107" s="167">
        <f>E107-C107</f>
        <v>33864.550000000003</v>
      </c>
      <c r="E107" s="58">
        <v>78100</v>
      </c>
      <c r="F107" s="168">
        <f t="shared" si="15"/>
        <v>0.4336049935979514</v>
      </c>
      <c r="G107" s="169">
        <v>3.0139999999999998</v>
      </c>
      <c r="H107" s="170">
        <v>24.457999999999998</v>
      </c>
      <c r="I107" s="62">
        <f>H107+G107</f>
        <v>27.471999999999998</v>
      </c>
      <c r="J107" s="168">
        <f>H107/I107</f>
        <v>0.89028829353523586</v>
      </c>
      <c r="K107" s="171">
        <f>E107/I107/1000</f>
        <v>2.8428945835760051</v>
      </c>
      <c r="L107" s="167">
        <f>I107/31*1000</f>
        <v>886.19354838709671</v>
      </c>
      <c r="M107" s="172">
        <f t="shared" ref="M107" si="100">L107*K107</f>
        <v>2519.3548387096776</v>
      </c>
      <c r="O107" s="32" t="s">
        <v>140</v>
      </c>
      <c r="P107" s="32">
        <v>1351</v>
      </c>
      <c r="Q107" s="32">
        <v>1124</v>
      </c>
      <c r="R107" s="123"/>
      <c r="S107" s="6"/>
      <c r="T107" s="6"/>
      <c r="U107" s="6"/>
    </row>
    <row r="108" spans="2:21" hidden="1" x14ac:dyDescent="0.2">
      <c r="B108" s="56" t="s">
        <v>155</v>
      </c>
      <c r="C108" s="57">
        <v>34886.339999999997</v>
      </c>
      <c r="D108" s="57">
        <f>E108-C108</f>
        <v>33017.660000000003</v>
      </c>
      <c r="E108" s="58">
        <v>67904</v>
      </c>
      <c r="F108" s="59">
        <f t="shared" si="15"/>
        <v>0.48624028039585304</v>
      </c>
      <c r="G108" s="60">
        <v>4.5289999999999999</v>
      </c>
      <c r="H108" s="61">
        <v>25.594000000000001</v>
      </c>
      <c r="I108" s="62">
        <f>H108+G108</f>
        <v>30.123000000000001</v>
      </c>
      <c r="J108" s="59">
        <f>H108/I108</f>
        <v>0.84964976927928826</v>
      </c>
      <c r="K108" s="74">
        <f>E108/I108/1000</f>
        <v>2.2542243468446035</v>
      </c>
      <c r="L108" s="57">
        <f>I108/31*1000</f>
        <v>971.70967741935488</v>
      </c>
      <c r="M108" s="78">
        <f t="shared" ref="M108" si="101">L108*K108</f>
        <v>2190.4516129032254</v>
      </c>
      <c r="N108" s="187"/>
      <c r="O108" s="32" t="s">
        <v>157</v>
      </c>
      <c r="P108" s="288">
        <v>3813.66</v>
      </c>
      <c r="Q108" s="288">
        <v>2426.29</v>
      </c>
      <c r="R108" s="32" t="s">
        <v>159</v>
      </c>
      <c r="S108" s="187"/>
      <c r="T108" s="187"/>
      <c r="U108" s="187"/>
    </row>
    <row r="109" spans="2:21" hidden="1" x14ac:dyDescent="0.2">
      <c r="B109" s="129" t="s">
        <v>173</v>
      </c>
      <c r="C109" s="130">
        <v>79786.41</v>
      </c>
      <c r="D109" s="130">
        <v>40790.33</v>
      </c>
      <c r="E109" s="341">
        <v>120576.74</v>
      </c>
      <c r="F109" s="132">
        <v>0.33829352161950971</v>
      </c>
      <c r="G109" s="133">
        <v>3.7130000000000001</v>
      </c>
      <c r="H109" s="133">
        <v>27.047999999999998</v>
      </c>
      <c r="I109" s="327">
        <v>30.760999999999999</v>
      </c>
      <c r="J109" s="132">
        <v>0.87929521146906797</v>
      </c>
      <c r="K109" s="136">
        <v>3.9197925945190342</v>
      </c>
      <c r="L109" s="130">
        <v>992.29032258064512</v>
      </c>
      <c r="M109" s="137">
        <v>3889.5722580645165</v>
      </c>
      <c r="N109" s="248"/>
      <c r="O109" s="307" t="s">
        <v>175</v>
      </c>
      <c r="P109" s="254">
        <v>6000</v>
      </c>
      <c r="Q109" s="254">
        <v>6050</v>
      </c>
      <c r="R109" s="287" t="s">
        <v>194</v>
      </c>
      <c r="S109" s="248"/>
      <c r="T109" s="248"/>
      <c r="U109" s="248"/>
    </row>
    <row r="110" spans="2:21" ht="12.75" hidden="1" thickBot="1" x14ac:dyDescent="0.25">
      <c r="B110" s="138" t="s">
        <v>186</v>
      </c>
      <c r="C110" s="139"/>
      <c r="D110" s="139"/>
      <c r="E110" s="140"/>
      <c r="F110" s="141"/>
      <c r="G110" s="142"/>
      <c r="H110" s="143"/>
      <c r="I110" s="144"/>
      <c r="J110" s="141"/>
      <c r="K110" s="145"/>
      <c r="L110" s="139"/>
      <c r="M110" s="146"/>
      <c r="N110" s="248"/>
      <c r="O110" s="1"/>
      <c r="P110" s="1"/>
      <c r="Q110" s="1"/>
      <c r="R110" s="117" t="s">
        <v>195</v>
      </c>
      <c r="S110" s="248"/>
      <c r="T110" s="248"/>
      <c r="U110" s="248"/>
    </row>
    <row r="111" spans="2:21" ht="4.5" customHeight="1" thickTop="1" thickBot="1" x14ac:dyDescent="0.25">
      <c r="B111" s="109"/>
      <c r="C111" s="82"/>
      <c r="D111" s="82"/>
      <c r="E111" s="148"/>
      <c r="F111" s="83"/>
      <c r="G111" s="84"/>
      <c r="H111" s="85"/>
      <c r="I111" s="149"/>
      <c r="J111" s="83"/>
      <c r="K111" s="86"/>
      <c r="L111" s="87"/>
      <c r="M111" s="88"/>
      <c r="N111" s="128"/>
      <c r="O111" s="32"/>
      <c r="P111" s="192"/>
      <c r="Q111" s="32"/>
      <c r="R111" s="124"/>
      <c r="S111" s="128"/>
      <c r="T111" s="128"/>
      <c r="U111" s="128"/>
    </row>
    <row r="112" spans="2:21" x14ac:dyDescent="0.2">
      <c r="B112" s="164" t="s">
        <v>95</v>
      </c>
      <c r="C112" s="268">
        <f>SUM(C3,C12,C21,C30,C39,C48,C57,C66,C75,C84,C93,C102)</f>
        <v>204732.09999999998</v>
      </c>
      <c r="D112" s="268">
        <f>SUM(D3,D12,D21,D30,D39,D48,D57,D66,D75,D84,D93,D102)</f>
        <v>317246.77</v>
      </c>
      <c r="E112" s="269">
        <f>SUM(E3,E12,E21,E30,E39,E48,E57,E66,E75,E84,E93,E102)</f>
        <v>521978.87000000011</v>
      </c>
      <c r="F112" s="97">
        <f t="shared" si="15"/>
        <v>0.60777703511255154</v>
      </c>
      <c r="G112" s="76">
        <f t="shared" ref="G112:I119" si="102">SUM(G3,G12,G21,G30,G39,G48,G57,G66,G75,G84,G93,G102)</f>
        <v>44.994</v>
      </c>
      <c r="H112" s="76">
        <f t="shared" si="102"/>
        <v>159.55799999999999</v>
      </c>
      <c r="I112" s="178">
        <f t="shared" si="102"/>
        <v>204.55200000000002</v>
      </c>
      <c r="J112" s="97">
        <f t="shared" ref="J112:J118" si="103">H112/I112</f>
        <v>0.78003637216942379</v>
      </c>
      <c r="K112" s="98">
        <f t="shared" ref="K112:K118" si="104">E112/(I112*1000)</f>
        <v>2.5518150396965078</v>
      </c>
      <c r="L112" s="99">
        <f>I112/365*1000</f>
        <v>560.41643835616435</v>
      </c>
      <c r="M112" s="275">
        <f t="shared" ref="M112:M116" si="105">L112*K112</f>
        <v>1430.0790958904111</v>
      </c>
      <c r="O112" s="193"/>
      <c r="P112" s="32"/>
      <c r="Q112" s="192"/>
      <c r="R112" s="256"/>
    </row>
    <row r="113" spans="2:21" x14ac:dyDescent="0.2">
      <c r="B113" s="165" t="s">
        <v>96</v>
      </c>
      <c r="C113" s="270">
        <f t="shared" ref="C113:D119" si="106">SUM(C4,C13,C22,C31,C40,C49,C58,C67,C76,C85,C94,C103)</f>
        <v>178523.56</v>
      </c>
      <c r="D113" s="270">
        <f t="shared" si="106"/>
        <v>330890.23</v>
      </c>
      <c r="E113" s="271">
        <f>C113+D113</f>
        <v>509413.79</v>
      </c>
      <c r="F113" s="101">
        <f t="shared" si="15"/>
        <v>0.6495509868313537</v>
      </c>
      <c r="G113" s="102">
        <f t="shared" si="102"/>
        <v>52.484000000000002</v>
      </c>
      <c r="H113" s="102">
        <f t="shared" si="102"/>
        <v>152.85599999999999</v>
      </c>
      <c r="I113" s="179">
        <f t="shared" si="102"/>
        <v>205.34</v>
      </c>
      <c r="J113" s="101">
        <f t="shared" si="103"/>
        <v>0.74440440245446571</v>
      </c>
      <c r="K113" s="103">
        <f t="shared" si="104"/>
        <v>2.4808307684815425</v>
      </c>
      <c r="L113" s="100">
        <f>I113/366*1000</f>
        <v>561.03825136612022</v>
      </c>
      <c r="M113" s="276">
        <f t="shared" si="105"/>
        <v>1391.8409562841528</v>
      </c>
      <c r="O113" s="185"/>
      <c r="P113" s="185"/>
      <c r="Q113" s="185"/>
      <c r="R113" s="124"/>
    </row>
    <row r="114" spans="2:21" x14ac:dyDescent="0.2">
      <c r="B114" s="166" t="s">
        <v>97</v>
      </c>
      <c r="C114" s="272">
        <f t="shared" si="106"/>
        <v>175420.06</v>
      </c>
      <c r="D114" s="272">
        <f t="shared" si="106"/>
        <v>328410.41999999993</v>
      </c>
      <c r="E114" s="273">
        <f t="shared" ref="E114:E119" si="107">SUM(E5,E14,E23,E32,E41,E50,E59,E68,E77,E86,E95,E104)</f>
        <v>503830.24</v>
      </c>
      <c r="F114" s="105">
        <f t="shared" si="15"/>
        <v>0.65182752825634271</v>
      </c>
      <c r="G114" s="106">
        <f t="shared" si="102"/>
        <v>45.195999999999998</v>
      </c>
      <c r="H114" s="106">
        <f t="shared" si="102"/>
        <v>174.77800000000002</v>
      </c>
      <c r="I114" s="180">
        <f t="shared" si="102"/>
        <v>219.97400000000002</v>
      </c>
      <c r="J114" s="105">
        <f t="shared" si="103"/>
        <v>0.79453935465100423</v>
      </c>
      <c r="K114" s="107">
        <f t="shared" si="104"/>
        <v>2.2904081391437168</v>
      </c>
      <c r="L114" s="104">
        <f t="shared" ref="L114:L115" si="108">I114/365*1000</f>
        <v>602.66849315068498</v>
      </c>
      <c r="M114" s="277">
        <f t="shared" si="105"/>
        <v>1380.3568219178082</v>
      </c>
      <c r="O114" s="163"/>
      <c r="P114" s="280"/>
      <c r="Q114" s="257"/>
      <c r="R114" s="163"/>
    </row>
    <row r="115" spans="2:21" x14ac:dyDescent="0.2">
      <c r="B115" s="166" t="s">
        <v>98</v>
      </c>
      <c r="C115" s="272">
        <f t="shared" si="106"/>
        <v>195094.37000000002</v>
      </c>
      <c r="D115" s="272">
        <f t="shared" si="106"/>
        <v>309432.27</v>
      </c>
      <c r="E115" s="273">
        <f t="shared" si="107"/>
        <v>504526.64</v>
      </c>
      <c r="F115" s="105">
        <f t="shared" ref="F115" si="109">D115/E115</f>
        <v>0.61331205424553992</v>
      </c>
      <c r="G115" s="106">
        <f t="shared" si="102"/>
        <v>36.472000000000001</v>
      </c>
      <c r="H115" s="106">
        <f t="shared" si="102"/>
        <v>163.821</v>
      </c>
      <c r="I115" s="180">
        <f t="shared" si="102"/>
        <v>200.29299999999998</v>
      </c>
      <c r="J115" s="105">
        <f t="shared" si="103"/>
        <v>0.81790676658695016</v>
      </c>
      <c r="K115" s="150">
        <f t="shared" si="104"/>
        <v>2.5189429485803303</v>
      </c>
      <c r="L115" s="104">
        <f t="shared" si="108"/>
        <v>548.74794520547948</v>
      </c>
      <c r="M115" s="277">
        <f t="shared" si="105"/>
        <v>1382.264767123288</v>
      </c>
      <c r="P115" s="280"/>
      <c r="Q115" s="43"/>
      <c r="R115" s="1"/>
    </row>
    <row r="116" spans="2:21" x14ac:dyDescent="0.2">
      <c r="B116" s="166" t="s">
        <v>99</v>
      </c>
      <c r="C116" s="272">
        <f t="shared" si="106"/>
        <v>243942.95640000002</v>
      </c>
      <c r="D116" s="272">
        <f t="shared" si="106"/>
        <v>344436.6936</v>
      </c>
      <c r="E116" s="273">
        <f t="shared" si="107"/>
        <v>588379.65</v>
      </c>
      <c r="F116" s="105">
        <f t="shared" ref="F116:F118" si="110">D116/E116</f>
        <v>0.58539871934727861</v>
      </c>
      <c r="G116" s="106">
        <f t="shared" si="102"/>
        <v>33.553999999999995</v>
      </c>
      <c r="H116" s="106">
        <f t="shared" si="102"/>
        <v>162.56700000000004</v>
      </c>
      <c r="I116" s="180">
        <f t="shared" si="102"/>
        <v>196.12100000000001</v>
      </c>
      <c r="J116" s="105">
        <f t="shared" si="103"/>
        <v>0.82891174326053829</v>
      </c>
      <c r="K116" s="150">
        <f t="shared" si="104"/>
        <v>3.0000848965689548</v>
      </c>
      <c r="L116" s="104">
        <f>I116/365*1000</f>
        <v>537.31780821917812</v>
      </c>
      <c r="M116" s="277">
        <f t="shared" si="105"/>
        <v>1611.9990410958906</v>
      </c>
      <c r="O116" s="217"/>
      <c r="P116" s="281"/>
      <c r="Q116" s="217"/>
      <c r="R116" s="7"/>
    </row>
    <row r="117" spans="2:21" x14ac:dyDescent="0.2">
      <c r="B117" s="166" t="s">
        <v>136</v>
      </c>
      <c r="C117" s="272">
        <f t="shared" si="106"/>
        <v>282066.73000000004</v>
      </c>
      <c r="D117" s="272">
        <f t="shared" si="106"/>
        <v>242521.65999999997</v>
      </c>
      <c r="E117" s="273">
        <f t="shared" si="107"/>
        <v>524588.39</v>
      </c>
      <c r="F117" s="105">
        <f t="shared" si="110"/>
        <v>0.46230847770001154</v>
      </c>
      <c r="G117" s="106">
        <f t="shared" si="102"/>
        <v>23.603000000000002</v>
      </c>
      <c r="H117" s="255">
        <f t="shared" si="102"/>
        <v>150.69099999999997</v>
      </c>
      <c r="I117" s="180">
        <f t="shared" si="102"/>
        <v>174.29400000000001</v>
      </c>
      <c r="J117" s="105">
        <f t="shared" si="103"/>
        <v>0.86457938884872665</v>
      </c>
      <c r="K117" s="150">
        <f t="shared" si="104"/>
        <v>3.0097902968547396</v>
      </c>
      <c r="L117" s="104">
        <f>I117*1000/365</f>
        <v>477.51780821917811</v>
      </c>
      <c r="M117" s="277">
        <f t="shared" ref="M117" si="111">L117*K117</f>
        <v>1437.2284657534246</v>
      </c>
      <c r="P117" s="282"/>
      <c r="R117" s="7"/>
    </row>
    <row r="118" spans="2:21" x14ac:dyDescent="0.2">
      <c r="B118" s="166" t="s">
        <v>156</v>
      </c>
      <c r="C118" s="272">
        <f t="shared" si="106"/>
        <v>245349.55000000002</v>
      </c>
      <c r="D118" s="272">
        <f t="shared" si="106"/>
        <v>257077.44999999998</v>
      </c>
      <c r="E118" s="273">
        <f t="shared" si="107"/>
        <v>502427</v>
      </c>
      <c r="F118" s="105">
        <f t="shared" si="110"/>
        <v>0.5116712477633566</v>
      </c>
      <c r="G118" s="106">
        <f t="shared" si="102"/>
        <v>25.779</v>
      </c>
      <c r="H118" s="255">
        <f t="shared" si="102"/>
        <v>159.59199999999998</v>
      </c>
      <c r="I118" s="180">
        <f t="shared" si="102"/>
        <v>185.37099999999998</v>
      </c>
      <c r="J118" s="105">
        <f t="shared" si="103"/>
        <v>0.86093293988811626</v>
      </c>
      <c r="K118" s="150">
        <f t="shared" si="104"/>
        <v>2.710386198488437</v>
      </c>
      <c r="L118" s="104">
        <f>I118*1000/365</f>
        <v>507.86575342465744</v>
      </c>
      <c r="M118" s="277">
        <f t="shared" ref="M118" si="112">L118*K118</f>
        <v>1376.5123287671231</v>
      </c>
      <c r="P118" s="281"/>
    </row>
    <row r="119" spans="2:21" ht="12.75" thickBot="1" x14ac:dyDescent="0.25">
      <c r="B119" s="311" t="s">
        <v>163</v>
      </c>
      <c r="C119" s="312">
        <f t="shared" si="106"/>
        <v>513724.32000000007</v>
      </c>
      <c r="D119" s="312">
        <f t="shared" si="106"/>
        <v>366871.83</v>
      </c>
      <c r="E119" s="319">
        <f t="shared" si="107"/>
        <v>880596.14999999979</v>
      </c>
      <c r="F119" s="313">
        <f t="shared" ref="F119:F120" si="113">D119/E119</f>
        <v>0.41661757208454764</v>
      </c>
      <c r="G119" s="314">
        <f t="shared" si="102"/>
        <v>34.002000000000002</v>
      </c>
      <c r="H119" s="315">
        <f t="shared" si="102"/>
        <v>157.57599999999999</v>
      </c>
      <c r="I119" s="320">
        <f t="shared" si="102"/>
        <v>191.57799999999997</v>
      </c>
      <c r="J119" s="313">
        <f t="shared" ref="J119" si="114">H119/I119</f>
        <v>0.82251615529966915</v>
      </c>
      <c r="K119" s="316">
        <f t="shared" ref="K119" si="115">E119/(I119*1000)</f>
        <v>4.5965410955328894</v>
      </c>
      <c r="L119" s="317">
        <f>I119*1000/365</f>
        <v>524.87123287671227</v>
      </c>
      <c r="M119" s="318">
        <f t="shared" ref="M119:M120" si="116">L119*K119</f>
        <v>2412.5921917808214</v>
      </c>
      <c r="N119" s="248"/>
      <c r="O119" s="45"/>
      <c r="P119" s="326"/>
      <c r="Q119" s="248"/>
      <c r="R119" s="248"/>
      <c r="S119" s="248"/>
      <c r="T119" s="248"/>
      <c r="U119" s="248"/>
    </row>
    <row r="120" spans="2:21" ht="12.75" thickBot="1" x14ac:dyDescent="0.25">
      <c r="B120" s="262" t="s">
        <v>184</v>
      </c>
      <c r="C120" s="274">
        <f>SUM(C110,C101,C92,C83,C74,C65,C56,C47,C38,C29,C20,C11)</f>
        <v>375978.14</v>
      </c>
      <c r="D120" s="274">
        <f t="shared" ref="D120:E120" si="117">SUM(D110,D101,D92,D83,D74,D65,D56,D47,D38,D29,D20,D11)</f>
        <v>202335.52000000002</v>
      </c>
      <c r="E120" s="274">
        <f t="shared" si="117"/>
        <v>578313.66</v>
      </c>
      <c r="F120" s="266">
        <f t="shared" si="113"/>
        <v>0.34987159044453492</v>
      </c>
      <c r="G120" s="267">
        <f t="shared" ref="G120:I120" si="118">SUM(G110,G101,G92,G83,G74,G65,G56,G47,G38,G29,G20,G11)</f>
        <v>19.741</v>
      </c>
      <c r="H120" s="267">
        <f t="shared" si="118"/>
        <v>96.443000000000012</v>
      </c>
      <c r="I120" s="264">
        <f t="shared" si="118"/>
        <v>116.184</v>
      </c>
      <c r="J120" s="266">
        <f t="shared" ref="J120" si="119">H120/I120</f>
        <v>0.83008848034152738</v>
      </c>
      <c r="K120" s="264">
        <f t="shared" ref="K120" si="120">E120/(I120*1000)</f>
        <v>4.9775671348894859</v>
      </c>
      <c r="L120" s="274">
        <f>I120*1000/275</f>
        <v>422.48727272727274</v>
      </c>
      <c r="M120" s="278">
        <f t="shared" si="116"/>
        <v>2102.958763636364</v>
      </c>
      <c r="P120" s="281"/>
    </row>
    <row r="121" spans="2:21" x14ac:dyDescent="0.2">
      <c r="E121" s="243"/>
      <c r="G121" s="45"/>
      <c r="H121" s="116"/>
      <c r="I121" s="242"/>
      <c r="L121" s="265"/>
    </row>
    <row r="122" spans="2:21" hidden="1" x14ac:dyDescent="0.2">
      <c r="C122" s="248"/>
      <c r="D122" s="263" t="s">
        <v>174</v>
      </c>
      <c r="E122" s="257">
        <v>900000</v>
      </c>
      <c r="F122" s="248"/>
      <c r="G122" s="285"/>
      <c r="H122" s="116"/>
      <c r="I122" s="242"/>
      <c r="J122" s="248"/>
      <c r="K122" s="248"/>
      <c r="L122" s="248"/>
      <c r="M122" s="248"/>
      <c r="N122" s="248"/>
      <c r="O122" s="248"/>
      <c r="P122" s="248"/>
      <c r="Q122" s="248"/>
      <c r="R122" s="248"/>
      <c r="S122" s="248"/>
      <c r="T122" s="248"/>
      <c r="U122" s="248"/>
    </row>
    <row r="123" spans="2:21" x14ac:dyDescent="0.2">
      <c r="C123" s="217"/>
      <c r="D123" s="217"/>
      <c r="E123" s="116"/>
      <c r="F123" s="217"/>
      <c r="G123" s="45"/>
      <c r="H123" s="190"/>
      <c r="I123" s="191"/>
      <c r="J123" s="217"/>
      <c r="K123" s="217"/>
      <c r="L123" s="217"/>
      <c r="M123" s="217"/>
      <c r="N123" s="217"/>
      <c r="S123" s="217"/>
      <c r="T123" s="217"/>
      <c r="U123" s="217"/>
    </row>
    <row r="124" spans="2:21" x14ac:dyDescent="0.2">
      <c r="E124" s="7"/>
      <c r="G124" s="7"/>
      <c r="H124" s="344"/>
      <c r="I124" s="7"/>
      <c r="J124" s="343"/>
      <c r="K124" s="7"/>
      <c r="L124" s="7"/>
      <c r="P124" s="217"/>
    </row>
    <row r="125" spans="2:21" x14ac:dyDescent="0.2">
      <c r="E125" s="7"/>
      <c r="G125" s="7"/>
      <c r="H125" s="7"/>
      <c r="I125" s="43"/>
      <c r="J125" s="7"/>
      <c r="K125" s="7"/>
      <c r="L125" s="186"/>
      <c r="M125" s="124"/>
    </row>
    <row r="126" spans="2:21" x14ac:dyDescent="0.2">
      <c r="E126" s="7"/>
      <c r="G126" s="7"/>
      <c r="H126" s="7"/>
      <c r="I126" s="7"/>
      <c r="J126" s="7"/>
      <c r="K126" s="7"/>
      <c r="L126" s="7"/>
    </row>
    <row r="127" spans="2:21" x14ac:dyDescent="0.2">
      <c r="E127" s="7"/>
      <c r="G127" s="7"/>
      <c r="H127" s="7"/>
      <c r="I127" s="7"/>
      <c r="J127" s="7"/>
      <c r="K127" s="7"/>
      <c r="L127" s="7"/>
    </row>
    <row r="128" spans="2:21" x14ac:dyDescent="0.2">
      <c r="G128" s="7"/>
      <c r="H128" s="7"/>
      <c r="I128" s="210"/>
      <c r="J128" s="7"/>
      <c r="K128" s="7"/>
      <c r="L128" s="7"/>
    </row>
    <row r="129" spans="7:12" x14ac:dyDescent="0.2">
      <c r="G129" s="7"/>
      <c r="H129" s="7"/>
      <c r="I129" s="7"/>
      <c r="J129" s="7"/>
      <c r="K129" s="7"/>
      <c r="L129" s="7"/>
    </row>
    <row r="130" spans="7:12" x14ac:dyDescent="0.2">
      <c r="G130" s="7"/>
      <c r="H130" s="7"/>
      <c r="I130" s="7"/>
      <c r="J130" s="7"/>
      <c r="K130" s="7"/>
      <c r="L130" s="7"/>
    </row>
    <row r="132" spans="7:12" x14ac:dyDescent="0.2">
      <c r="L132" s="7"/>
    </row>
  </sheetData>
  <pageMargins left="0.7" right="0.7" top="0.78740157499999996" bottom="0.78740157499999996" header="0.3" footer="0.3"/>
  <pageSetup paperSize="9" orientation="portrait" r:id="rId1"/>
  <ignoredErrors>
    <ignoredError sqref="F112 E113 L13 L113 M8 L17 F114:F120" formula="1"/>
    <ignoredError sqref="D44" evalErro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8"/>
  <sheetViews>
    <sheetView topLeftCell="B26" zoomScale="90" zoomScaleNormal="90" workbookViewId="0">
      <selection activeCell="K24" sqref="K24"/>
    </sheetView>
  </sheetViews>
  <sheetFormatPr defaultRowHeight="12" x14ac:dyDescent="0.2"/>
  <cols>
    <col min="1" max="1" width="1.42578125" style="10" customWidth="1"/>
    <col min="2" max="2" width="28" style="8" customWidth="1"/>
    <col min="3" max="13" width="9.85546875" style="8" customWidth="1"/>
    <col min="14" max="14" width="9.85546875" style="10" customWidth="1"/>
    <col min="15" max="15" width="7.140625" style="10" customWidth="1"/>
    <col min="16" max="16384" width="9.140625" style="10"/>
  </cols>
  <sheetData>
    <row r="1" spans="2:14" s="8" customFormat="1" ht="12.75" hidden="1" thickBot="1" x14ac:dyDescent="0.25"/>
    <row r="2" spans="2:14" s="8" customFormat="1" ht="12.75" hidden="1" thickBot="1" x14ac:dyDescent="0.25">
      <c r="B2" s="13"/>
      <c r="C2" s="23" t="s">
        <v>28</v>
      </c>
      <c r="D2" s="23" t="s">
        <v>29</v>
      </c>
      <c r="E2" s="23" t="s">
        <v>30</v>
      </c>
      <c r="F2" s="23" t="s">
        <v>31</v>
      </c>
      <c r="G2" s="23" t="s">
        <v>32</v>
      </c>
      <c r="H2" s="23" t="s">
        <v>33</v>
      </c>
      <c r="I2" s="24" t="s">
        <v>34</v>
      </c>
      <c r="J2" s="23" t="s">
        <v>35</v>
      </c>
      <c r="K2" s="23" t="s">
        <v>36</v>
      </c>
      <c r="L2" s="23" t="s">
        <v>37</v>
      </c>
      <c r="M2" s="23" t="s">
        <v>38</v>
      </c>
      <c r="N2" s="25" t="s">
        <v>39</v>
      </c>
    </row>
    <row r="3" spans="2:14" s="8" customFormat="1" hidden="1" x14ac:dyDescent="0.2">
      <c r="B3" s="26" t="s">
        <v>18</v>
      </c>
      <c r="C3" s="27">
        <v>31717</v>
      </c>
      <c r="D3" s="27">
        <v>29999.35</v>
      </c>
      <c r="E3" s="27">
        <v>27969.61</v>
      </c>
      <c r="F3" s="27">
        <v>19281.400000000001</v>
      </c>
      <c r="G3" s="27">
        <v>10096.01</v>
      </c>
      <c r="H3" s="27">
        <v>4659.1099999999997</v>
      </c>
      <c r="I3" s="27">
        <v>3978.64</v>
      </c>
      <c r="J3" s="27">
        <v>3815.09</v>
      </c>
      <c r="K3" s="27">
        <v>4842.12</v>
      </c>
      <c r="L3" s="27">
        <v>17549.59</v>
      </c>
      <c r="M3" s="27">
        <v>22195.21</v>
      </c>
      <c r="N3" s="28">
        <v>28628.97</v>
      </c>
    </row>
    <row r="4" spans="2:14" s="8" customFormat="1" hidden="1" x14ac:dyDescent="0.2">
      <c r="B4" s="21" t="s">
        <v>23</v>
      </c>
      <c r="C4" s="11">
        <v>29649.85</v>
      </c>
      <c r="D4" s="11">
        <v>21769.05</v>
      </c>
      <c r="E4" s="11">
        <v>21645.27</v>
      </c>
      <c r="F4" s="11">
        <v>13646.07</v>
      </c>
      <c r="G4" s="11">
        <v>10187.66</v>
      </c>
      <c r="H4" s="11">
        <v>4589.9399999999996</v>
      </c>
      <c r="I4" s="11">
        <v>4489.5200000000004</v>
      </c>
      <c r="J4" s="11">
        <v>4107</v>
      </c>
      <c r="K4" s="11">
        <v>3317.75</v>
      </c>
      <c r="L4" s="11">
        <v>12856.58</v>
      </c>
      <c r="M4" s="12"/>
      <c r="N4" s="22"/>
    </row>
    <row r="5" spans="2:14" s="8" customFormat="1" hidden="1" x14ac:dyDescent="0.2">
      <c r="B5" s="30" t="s">
        <v>19</v>
      </c>
      <c r="C5" s="14">
        <v>74454.320000000007</v>
      </c>
      <c r="D5" s="14">
        <v>71788.510000000009</v>
      </c>
      <c r="E5" s="14">
        <v>66382.97</v>
      </c>
      <c r="F5" s="14">
        <v>47249.51</v>
      </c>
      <c r="G5" s="14">
        <v>27440.18</v>
      </c>
      <c r="H5" s="14">
        <v>16855.7</v>
      </c>
      <c r="I5" s="14">
        <v>16328.49</v>
      </c>
      <c r="J5" s="14">
        <v>15661.09</v>
      </c>
      <c r="K5" s="14">
        <v>17393.71</v>
      </c>
      <c r="L5" s="14">
        <v>46184.28</v>
      </c>
      <c r="M5" s="14">
        <v>54464.08</v>
      </c>
      <c r="N5" s="29">
        <v>67776.03</v>
      </c>
    </row>
    <row r="6" spans="2:14" s="8" customFormat="1" hidden="1" x14ac:dyDescent="0.2">
      <c r="B6" s="30" t="s">
        <v>24</v>
      </c>
      <c r="C6" s="14">
        <v>77110.2</v>
      </c>
      <c r="D6" s="14">
        <v>57392.91</v>
      </c>
      <c r="E6" s="14">
        <v>57202.25</v>
      </c>
      <c r="F6" s="14">
        <v>37966.080000000002</v>
      </c>
      <c r="G6" s="14">
        <v>31985.91</v>
      </c>
      <c r="H6" s="14">
        <v>19458.75</v>
      </c>
      <c r="I6" s="14">
        <v>19353.919999999998</v>
      </c>
      <c r="J6" s="14">
        <v>18221</v>
      </c>
      <c r="K6" s="14">
        <v>15286.27</v>
      </c>
      <c r="L6" s="14">
        <v>36922.269999999997</v>
      </c>
      <c r="M6" s="14"/>
      <c r="N6" s="29"/>
    </row>
    <row r="7" spans="2:14" s="8" customFormat="1" hidden="1" x14ac:dyDescent="0.2">
      <c r="B7" s="30" t="s">
        <v>20</v>
      </c>
      <c r="C7" s="16">
        <v>6.0759999999999996</v>
      </c>
      <c r="D7" s="16">
        <v>5.7859999999999996</v>
      </c>
      <c r="E7" s="16">
        <v>4.9749999999999996</v>
      </c>
      <c r="F7" s="16">
        <v>3.274</v>
      </c>
      <c r="G7" s="16">
        <v>1.9510000000000001</v>
      </c>
      <c r="H7" s="16">
        <v>2.0369999999999999</v>
      </c>
      <c r="I7" s="16">
        <v>2.4830000000000001</v>
      </c>
      <c r="J7" s="16">
        <v>2.3149999999999999</v>
      </c>
      <c r="K7" s="16">
        <v>2.0659999999999998</v>
      </c>
      <c r="L7" s="16">
        <v>4.8339999999999996</v>
      </c>
      <c r="M7" s="16">
        <v>4.3259999999999996</v>
      </c>
      <c r="N7" s="18">
        <v>4.8710000000000004</v>
      </c>
    </row>
    <row r="8" spans="2:14" s="8" customFormat="1" hidden="1" x14ac:dyDescent="0.2">
      <c r="B8" s="30" t="s">
        <v>25</v>
      </c>
      <c r="C8" s="16">
        <v>7.36</v>
      </c>
      <c r="D8" s="16">
        <v>5.0609999999999999</v>
      </c>
      <c r="E8" s="16">
        <v>5.101</v>
      </c>
      <c r="F8" s="16">
        <v>2.907</v>
      </c>
      <c r="G8" s="16">
        <v>3.7170000000000001</v>
      </c>
      <c r="H8" s="16">
        <v>3.1840000000000002</v>
      </c>
      <c r="I8" s="16">
        <v>3.3410000000000002</v>
      </c>
      <c r="J8" s="16">
        <v>3.036</v>
      </c>
      <c r="K8" s="16">
        <v>2.21</v>
      </c>
      <c r="L8" s="15">
        <v>3.3</v>
      </c>
      <c r="M8" s="16"/>
      <c r="N8" s="17"/>
    </row>
    <row r="9" spans="2:14" s="8" customFormat="1" hidden="1" x14ac:dyDescent="0.2">
      <c r="B9" s="30" t="s">
        <v>21</v>
      </c>
      <c r="C9" s="16">
        <v>26.08</v>
      </c>
      <c r="D9" s="16">
        <v>24.606000000000002</v>
      </c>
      <c r="E9" s="16">
        <v>23.882000000000001</v>
      </c>
      <c r="F9" s="16">
        <v>15.513</v>
      </c>
      <c r="G9" s="16">
        <v>8.2750000000000004</v>
      </c>
      <c r="H9" s="16">
        <v>2.0350000000000001</v>
      </c>
      <c r="I9" s="16">
        <v>0.57099999999999995</v>
      </c>
      <c r="J9" s="16">
        <v>0.65100000000000002</v>
      </c>
      <c r="K9" s="16">
        <v>2.1949999999999998</v>
      </c>
      <c r="L9" s="16">
        <v>12.114000000000001</v>
      </c>
      <c r="M9" s="16">
        <v>18.134</v>
      </c>
      <c r="N9" s="18">
        <v>24.501999999999999</v>
      </c>
    </row>
    <row r="10" spans="2:14" s="8" customFormat="1" hidden="1" x14ac:dyDescent="0.2">
      <c r="B10" s="30" t="s">
        <v>26</v>
      </c>
      <c r="C10" s="16">
        <v>27.518999999999998</v>
      </c>
      <c r="D10" s="16">
        <v>20.742999999999999</v>
      </c>
      <c r="E10" s="16">
        <v>20.516999999999999</v>
      </c>
      <c r="F10" s="16">
        <v>13.42</v>
      </c>
      <c r="G10" s="16">
        <v>7.5890000000000004</v>
      </c>
      <c r="H10" s="16">
        <v>1.048</v>
      </c>
      <c r="I10" s="16">
        <v>0.66900000000000004</v>
      </c>
      <c r="J10" s="16">
        <v>0.64500000000000002</v>
      </c>
      <c r="K10" s="16">
        <v>0.89600000000000002</v>
      </c>
      <c r="L10" s="16">
        <v>11.762</v>
      </c>
      <c r="M10" s="16"/>
      <c r="N10" s="18"/>
    </row>
    <row r="11" spans="2:14" s="32" customFormat="1" ht="12.75" hidden="1" thickBot="1" x14ac:dyDescent="0.25">
      <c r="B11" s="19" t="s">
        <v>22</v>
      </c>
      <c r="C11" s="20">
        <v>32.155999999999999</v>
      </c>
      <c r="D11" s="20">
        <v>30.392000000000003</v>
      </c>
      <c r="E11" s="20">
        <v>28.856999999999999</v>
      </c>
      <c r="F11" s="20">
        <v>18.786999999999999</v>
      </c>
      <c r="G11" s="20">
        <v>10.226000000000001</v>
      </c>
      <c r="H11" s="20">
        <v>4.0720000000000001</v>
      </c>
      <c r="I11" s="20">
        <v>3.0540000000000003</v>
      </c>
      <c r="J11" s="20">
        <v>2.9660000000000002</v>
      </c>
      <c r="K11" s="20">
        <v>4.2609999999999992</v>
      </c>
      <c r="L11" s="20">
        <v>16.948</v>
      </c>
      <c r="M11" s="20">
        <v>22.46</v>
      </c>
      <c r="N11" s="31">
        <v>29.372999999999998</v>
      </c>
    </row>
    <row r="12" spans="2:14" s="32" customFormat="1" ht="12.75" hidden="1" thickBot="1" x14ac:dyDescent="0.25">
      <c r="B12" s="19" t="s">
        <v>27</v>
      </c>
      <c r="C12" s="20">
        <v>34.878999999999998</v>
      </c>
      <c r="D12" s="20">
        <v>25.803999999999998</v>
      </c>
      <c r="E12" s="20">
        <v>25.617999999999999</v>
      </c>
      <c r="F12" s="20">
        <v>16.326999999999998</v>
      </c>
      <c r="G12" s="20">
        <v>11.306000000000001</v>
      </c>
      <c r="H12" s="20">
        <v>4.2320000000000002</v>
      </c>
      <c r="I12" s="20">
        <v>4.01</v>
      </c>
      <c r="J12" s="20">
        <v>3.681</v>
      </c>
      <c r="K12" s="20">
        <v>3.1059999999999999</v>
      </c>
      <c r="L12" s="20">
        <v>15.062000000000001</v>
      </c>
      <c r="M12" s="33"/>
      <c r="N12" s="34"/>
    </row>
    <row r="13" spans="2:14" s="8" customFormat="1" hidden="1" x14ac:dyDescent="0.2">
      <c r="B13" s="9"/>
    </row>
    <row r="14" spans="2:14" s="8" customFormat="1" ht="12.75" thickBot="1" x14ac:dyDescent="0.25">
      <c r="B14" s="9"/>
    </row>
    <row r="15" spans="2:14" s="8" customFormat="1" ht="12.75" thickBot="1" x14ac:dyDescent="0.25">
      <c r="B15" s="13" t="s">
        <v>158</v>
      </c>
      <c r="C15" s="212" t="s">
        <v>28</v>
      </c>
      <c r="D15" s="212" t="s">
        <v>29</v>
      </c>
      <c r="E15" s="212" t="s">
        <v>30</v>
      </c>
      <c r="F15" s="212" t="s">
        <v>31</v>
      </c>
      <c r="G15" s="212" t="s">
        <v>32</v>
      </c>
      <c r="H15" s="212" t="s">
        <v>33</v>
      </c>
      <c r="I15" s="213" t="s">
        <v>34</v>
      </c>
      <c r="J15" s="212" t="s">
        <v>35</v>
      </c>
      <c r="K15" s="212" t="s">
        <v>36</v>
      </c>
      <c r="L15" s="212" t="s">
        <v>37</v>
      </c>
      <c r="M15" s="212" t="s">
        <v>38</v>
      </c>
      <c r="N15" s="214" t="s">
        <v>39</v>
      </c>
    </row>
    <row r="16" spans="2:14" s="8" customFormat="1" x14ac:dyDescent="0.2">
      <c r="B16" s="259" t="s">
        <v>122</v>
      </c>
      <c r="C16" s="249">
        <f>'spotreby 2015 az 2023'!E8</f>
        <v>87415.39</v>
      </c>
      <c r="D16" s="249">
        <f>'spotreby 2015 az 2023'!E17</f>
        <v>84307</v>
      </c>
      <c r="E16" s="249">
        <f>'spotreby 2015 az 2023'!E26</f>
        <v>66029</v>
      </c>
      <c r="F16" s="249">
        <f>'spotreby 2015 az 2023'!E35</f>
        <v>30238</v>
      </c>
      <c r="G16" s="249">
        <f>'spotreby 2015 az 2023'!E44</f>
        <v>27165</v>
      </c>
      <c r="H16" s="249">
        <f>'spotreby 2015 az 2023'!E53</f>
        <v>15471</v>
      </c>
      <c r="I16" s="249">
        <f>'spotreby 2015 az 2023'!E62</f>
        <v>11905</v>
      </c>
      <c r="J16" s="249">
        <f>'spotreby 2015 az 2023'!E71</f>
        <v>11848</v>
      </c>
      <c r="K16" s="249">
        <f>'spotreby 2015 az 2023'!E80</f>
        <v>13031</v>
      </c>
      <c r="L16" s="249">
        <f>'spotreby 2015 az 2023'!E89</f>
        <v>40511</v>
      </c>
      <c r="M16" s="249">
        <f>'spotreby 2015 az 2023'!E98</f>
        <v>58568</v>
      </c>
      <c r="N16" s="38">
        <f>'spotreby 2015 az 2023'!E107</f>
        <v>78100</v>
      </c>
    </row>
    <row r="17" spans="2:17" s="8" customFormat="1" x14ac:dyDescent="0.2">
      <c r="B17" s="259" t="s">
        <v>144</v>
      </c>
      <c r="C17" s="249">
        <f>'spotreby 2015 az 2023'!E9</f>
        <v>75175</v>
      </c>
      <c r="D17" s="249">
        <f>'spotreby 2015 az 2023'!E18</f>
        <v>71668</v>
      </c>
      <c r="E17" s="249">
        <f>'spotreby 2015 az 2023'!E27</f>
        <v>55757</v>
      </c>
      <c r="F17" s="249">
        <f>'spotreby 2015 az 2023'!E36</f>
        <v>38186</v>
      </c>
      <c r="G17" s="249">
        <f>'spotreby 2015 az 2023'!E45</f>
        <v>27967</v>
      </c>
      <c r="H17" s="249">
        <f>'spotreby 2015 az 2023'!E54</f>
        <v>13700</v>
      </c>
      <c r="I17" s="249">
        <f>'spotreby 2015 az 2023'!E63</f>
        <v>11922</v>
      </c>
      <c r="J17" s="249">
        <f>'spotreby 2015 az 2023'!E72</f>
        <v>12549</v>
      </c>
      <c r="K17" s="249">
        <f>'spotreby 2015 az 2023'!E81</f>
        <v>15289</v>
      </c>
      <c r="L17" s="249">
        <f>'spotreby 2015 az 2023'!E90</f>
        <v>49325</v>
      </c>
      <c r="M17" s="249">
        <f>'spotreby 2015 az 2023'!E99</f>
        <v>62985</v>
      </c>
      <c r="N17" s="38">
        <f>'spotreby 2015 az 2023'!E108</f>
        <v>67904</v>
      </c>
    </row>
    <row r="18" spans="2:17" s="45" customFormat="1" x14ac:dyDescent="0.2">
      <c r="B18" s="259" t="s">
        <v>189</v>
      </c>
      <c r="C18" s="249">
        <f>'spotreby 2015 az 2023'!E10</f>
        <v>144694.29999999999</v>
      </c>
      <c r="D18" s="249">
        <f>'spotreby 2015 az 2023'!E19</f>
        <v>132100.38</v>
      </c>
      <c r="E18" s="249">
        <f>'spotreby 2015 az 2023'!E28</f>
        <v>138081.65</v>
      </c>
      <c r="F18" s="249">
        <f>'spotreby 2015 az 2023'!E37</f>
        <v>97767.25</v>
      </c>
      <c r="G18" s="249">
        <f>'spotreby 2015 az 2023'!E46</f>
        <v>27420.97</v>
      </c>
      <c r="H18" s="249">
        <f>'spotreby 2015 az 2023'!E55</f>
        <v>17096.36</v>
      </c>
      <c r="I18" s="249">
        <f>'spotreby 2015 az 2023'!E64</f>
        <v>16525.330000000002</v>
      </c>
      <c r="J18" s="249">
        <f>'spotreby 2015 az 2023'!E73</f>
        <v>17033.939999999999</v>
      </c>
      <c r="K18" s="249">
        <f>'spotreby 2015 az 2023'!E82</f>
        <v>23699.34</v>
      </c>
      <c r="L18" s="249">
        <f>'spotreby 2015 az 2023'!E91</f>
        <v>56218.8</v>
      </c>
      <c r="M18" s="249">
        <f>'spotreby 2015 az 2023'!E100</f>
        <v>89381.09</v>
      </c>
      <c r="N18" s="38">
        <f>'spotreby 2015 az 2023'!E109</f>
        <v>120576.74</v>
      </c>
    </row>
    <row r="19" spans="2:17" s="45" customFormat="1" x14ac:dyDescent="0.2">
      <c r="B19" s="261" t="s">
        <v>190</v>
      </c>
      <c r="C19" s="258">
        <f>'spotreby 2015 az 2023'!E11</f>
        <v>142145.04999999999</v>
      </c>
      <c r="D19" s="258">
        <f>'spotreby 2015 az 2023'!E20</f>
        <v>143422.95000000001</v>
      </c>
      <c r="E19" s="258">
        <f>'spotreby 2015 az 2023'!E29</f>
        <v>110898.4</v>
      </c>
      <c r="F19" s="258">
        <f>'spotreby 2015 az 2023'!E38</f>
        <v>85719.32</v>
      </c>
      <c r="G19" s="258">
        <f>'spotreby 2015 az 2023'!E47</f>
        <v>30553.3</v>
      </c>
      <c r="H19" s="258">
        <f>'spotreby 2015 az 2023'!E56</f>
        <v>17298.8</v>
      </c>
      <c r="I19" s="258">
        <f>'spotreby 2015 az 2023'!E65</f>
        <v>16056.26</v>
      </c>
      <c r="J19" s="258">
        <f>'spotreby 2015 az 2023'!E74</f>
        <v>16955.25</v>
      </c>
      <c r="K19" s="258">
        <f>'spotreby 2015 az 2023'!E83</f>
        <v>15264.33</v>
      </c>
      <c r="L19" s="258"/>
      <c r="M19" s="258"/>
      <c r="N19" s="260"/>
    </row>
    <row r="20" spans="2:17" s="8" customFormat="1" x14ac:dyDescent="0.2">
      <c r="B20" s="259" t="s">
        <v>123</v>
      </c>
      <c r="C20" s="249">
        <f>'spotreby 2015 az 2023'!I8</f>
        <v>32.106000000000002</v>
      </c>
      <c r="D20" s="249">
        <f>'spotreby 2015 az 2023'!I17</f>
        <v>29.588000000000001</v>
      </c>
      <c r="E20" s="249">
        <f>'spotreby 2015 az 2023'!I26</f>
        <v>22.760999999999999</v>
      </c>
      <c r="F20" s="249">
        <f>'spotreby 2015 az 2023'!I35</f>
        <v>12.021999999999998</v>
      </c>
      <c r="G20" s="249">
        <f>'spotreby 2015 az 2023'!I44</f>
        <v>7.6979999999999995</v>
      </c>
      <c r="H20" s="249">
        <f>'spotreby 2015 az 2023'!I53</f>
        <v>3.3570000000000002</v>
      </c>
      <c r="I20" s="249">
        <f>'spotreby 2015 az 2023'!I62</f>
        <v>1.7669999999999999</v>
      </c>
      <c r="J20" s="249">
        <f>'spotreby 2015 az 2023'!I71</f>
        <v>1.7730000000000001</v>
      </c>
      <c r="K20" s="249">
        <f>'spotreby 2015 az 2023'!I80</f>
        <v>2.2509999999999999</v>
      </c>
      <c r="L20" s="249">
        <f>'spotreby 2015 az 2023'!I89</f>
        <v>13.260999999999999</v>
      </c>
      <c r="M20" s="249">
        <f>'spotreby 2015 az 2023'!I98</f>
        <v>20.238</v>
      </c>
      <c r="N20" s="38">
        <f>'spotreby 2015 az 2023'!I107</f>
        <v>27.471999999999998</v>
      </c>
    </row>
    <row r="21" spans="2:17" s="8" customFormat="1" x14ac:dyDescent="0.2">
      <c r="B21" s="259" t="s">
        <v>145</v>
      </c>
      <c r="C21" s="249">
        <f>'spotreby 2015 az 2023'!I9</f>
        <v>28.914000000000001</v>
      </c>
      <c r="D21" s="249">
        <f>'spotreby 2015 az 2023'!I18</f>
        <v>27.879000000000001</v>
      </c>
      <c r="E21" s="249">
        <f>'spotreby 2015 az 2023'!I27</f>
        <v>21.562999999999999</v>
      </c>
      <c r="F21" s="249">
        <f>'spotreby 2015 az 2023'!I36</f>
        <v>14</v>
      </c>
      <c r="G21" s="249">
        <f>'spotreby 2015 az 2023'!I45</f>
        <v>9.2569999999999997</v>
      </c>
      <c r="H21" s="249">
        <f>'spotreby 2015 az 2023'!I54</f>
        <v>2.7279999999999998</v>
      </c>
      <c r="I21" s="249">
        <f>'spotreby 2015 az 2023'!I63</f>
        <v>1.9789999999999999</v>
      </c>
      <c r="J21" s="249">
        <f>'spotreby 2015 az 2023'!I72</f>
        <v>2.222</v>
      </c>
      <c r="K21" s="249">
        <f>'spotreby 2015 az 2023'!I81</f>
        <v>3.5640000000000001</v>
      </c>
      <c r="L21" s="249">
        <f>'spotreby 2015 az 2023'!I90</f>
        <v>16.565000000000001</v>
      </c>
      <c r="M21" s="249">
        <f>'spotreby 2015 az 2023'!I99</f>
        <v>26.576999999999998</v>
      </c>
      <c r="N21" s="38">
        <f>'spotreby 2015 az 2023'!I108</f>
        <v>30.123000000000001</v>
      </c>
    </row>
    <row r="22" spans="2:17" s="45" customFormat="1" x14ac:dyDescent="0.2">
      <c r="B22" s="259" t="s">
        <v>192</v>
      </c>
      <c r="C22" s="249">
        <f>'spotreby 2015 az 2023'!I10</f>
        <v>32.314999999999998</v>
      </c>
      <c r="D22" s="249">
        <f>'spotreby 2015 az 2023'!I19</f>
        <v>28.716000000000001</v>
      </c>
      <c r="E22" s="249">
        <f>'spotreby 2015 az 2023'!I28</f>
        <v>29.891000000000002</v>
      </c>
      <c r="F22" s="249">
        <f>'spotreby 2015 az 2023'!I37</f>
        <v>21.184000000000001</v>
      </c>
      <c r="G22" s="249">
        <f>'spotreby 2015 az 2023'!I46</f>
        <v>4.6059999999999999</v>
      </c>
      <c r="H22" s="249">
        <f>'spotreby 2015 az 2023'!I55</f>
        <v>1.8540000000000001</v>
      </c>
      <c r="I22" s="249">
        <f>'spotreby 2015 az 2023'!I64</f>
        <v>1.77</v>
      </c>
      <c r="J22" s="249">
        <f>'spotreby 2015 az 2023'!I73</f>
        <v>1.839</v>
      </c>
      <c r="K22" s="249">
        <f>'spotreby 2015 az 2023'!I82</f>
        <v>3.5949999999999998</v>
      </c>
      <c r="L22" s="249">
        <f>'spotreby 2015 az 2023'!I91</f>
        <v>13.318999999999999</v>
      </c>
      <c r="M22" s="249">
        <f>'spotreby 2015 az 2023'!I100</f>
        <v>21.728000000000002</v>
      </c>
      <c r="N22" s="38">
        <f>'spotreby 2015 az 2023'!I109</f>
        <v>30.760999999999999</v>
      </c>
    </row>
    <row r="23" spans="2:17" s="45" customFormat="1" ht="12.75" thickBot="1" x14ac:dyDescent="0.25">
      <c r="B23" s="328" t="s">
        <v>193</v>
      </c>
      <c r="C23" s="329">
        <f>'spotreby 2015 az 2023'!I11</f>
        <v>26.973999999999997</v>
      </c>
      <c r="D23" s="329">
        <f>'spotreby 2015 az 2023'!I20</f>
        <v>27.552999999999997</v>
      </c>
      <c r="E23" s="329">
        <f>'spotreby 2015 az 2023'!I29</f>
        <v>25.029000000000003</v>
      </c>
      <c r="F23" s="329">
        <f>'spotreby 2015 az 2023'!I38</f>
        <v>19.905000000000001</v>
      </c>
      <c r="G23" s="329">
        <f>'spotreby 2015 az 2023'!I47</f>
        <v>7.09</v>
      </c>
      <c r="H23" s="329">
        <f>'spotreby 2015 az 2023'!I56</f>
        <v>2.6059999999999999</v>
      </c>
      <c r="I23" s="329">
        <f>'spotreby 2015 az 2023'!I65</f>
        <v>2.4370000000000003</v>
      </c>
      <c r="J23" s="329">
        <f>'spotreby 2015 az 2023'!I74</f>
        <v>2.5510000000000002</v>
      </c>
      <c r="K23" s="329">
        <f>'spotreby 2015 az 2023'!I83</f>
        <v>2.0390000000000001</v>
      </c>
      <c r="L23" s="329"/>
      <c r="M23" s="329"/>
      <c r="N23" s="330"/>
    </row>
    <row r="24" spans="2:17" s="8" customFormat="1" x14ac:dyDescent="0.2"/>
    <row r="25" spans="2:17" s="8" customFormat="1" ht="15" customHeight="1" x14ac:dyDescent="0.25">
      <c r="C25" s="279"/>
      <c r="D25" s="286" t="s">
        <v>191</v>
      </c>
      <c r="Q25" s="181"/>
    </row>
    <row r="26" spans="2:17" s="8" customFormat="1" x14ac:dyDescent="0.2"/>
    <row r="27" spans="2:17" s="8" customFormat="1" x14ac:dyDescent="0.2"/>
    <row r="28" spans="2:17" s="8" customFormat="1" x14ac:dyDescent="0.2"/>
    <row r="52" spans="2:4" s="8" customFormat="1" x14ac:dyDescent="0.2"/>
    <row r="53" spans="2:4" s="8" customFormat="1" x14ac:dyDescent="0.2"/>
    <row r="54" spans="2:4" s="8" customFormat="1" x14ac:dyDescent="0.2"/>
    <row r="56" spans="2:4" s="8" customFormat="1" x14ac:dyDescent="0.2"/>
    <row r="57" spans="2:4" s="8" customFormat="1" x14ac:dyDescent="0.2"/>
    <row r="58" spans="2:4" s="8" customFormat="1" x14ac:dyDescent="0.2"/>
    <row r="60" spans="2:4" s="8" customFormat="1" x14ac:dyDescent="0.2"/>
    <row r="61" spans="2:4" s="8" customFormat="1" x14ac:dyDescent="0.2">
      <c r="B61" s="32"/>
      <c r="C61" s="32"/>
      <c r="D61" s="32"/>
    </row>
    <row r="62" spans="2:4" s="8" customFormat="1" x14ac:dyDescent="0.2"/>
    <row r="63" spans="2:4" s="8" customFormat="1" x14ac:dyDescent="0.2"/>
    <row r="65" s="8" customFormat="1" x14ac:dyDescent="0.2"/>
    <row r="67" s="8" customFormat="1" x14ac:dyDescent="0.2"/>
    <row r="68" s="8" customFormat="1" x14ac:dyDescent="0.2"/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14"/>
  <sheetViews>
    <sheetView workbookViewId="0">
      <selection activeCell="C9" sqref="C9"/>
    </sheetView>
  </sheetViews>
  <sheetFormatPr defaultRowHeight="15" x14ac:dyDescent="0.25"/>
  <cols>
    <col min="1" max="1" width="3.5703125" customWidth="1"/>
  </cols>
  <sheetData>
    <row r="1" spans="2:20" ht="15.75" thickBot="1" x14ac:dyDescent="0.3"/>
    <row r="2" spans="2:20" ht="48.75" thickBot="1" x14ac:dyDescent="0.3">
      <c r="B2" s="108" t="s">
        <v>121</v>
      </c>
      <c r="C2" s="47" t="s">
        <v>91</v>
      </c>
      <c r="D2" s="47" t="s">
        <v>88</v>
      </c>
      <c r="E2" s="47" t="s">
        <v>141</v>
      </c>
      <c r="F2" s="48" t="s">
        <v>16</v>
      </c>
    </row>
    <row r="3" spans="2:20" x14ac:dyDescent="0.25">
      <c r="B3" s="152">
        <v>2015</v>
      </c>
      <c r="C3" s="153">
        <v>521978.87000000011</v>
      </c>
      <c r="D3" s="154">
        <v>44.994</v>
      </c>
      <c r="E3" s="154">
        <v>159.55799999999999</v>
      </c>
      <c r="F3" s="155">
        <v>204.55200000000002</v>
      </c>
    </row>
    <row r="4" spans="2:20" x14ac:dyDescent="0.25">
      <c r="B4" s="156">
        <v>2016</v>
      </c>
      <c r="C4" s="113">
        <v>509413.79</v>
      </c>
      <c r="D4" s="202">
        <v>52.484000000000002</v>
      </c>
      <c r="E4" s="114">
        <v>152.85599999999999</v>
      </c>
      <c r="F4" s="157">
        <v>205.34</v>
      </c>
    </row>
    <row r="5" spans="2:20" x14ac:dyDescent="0.25">
      <c r="B5" s="156">
        <v>2017</v>
      </c>
      <c r="C5" s="113">
        <v>503830.24</v>
      </c>
      <c r="D5" s="114">
        <v>45.195999999999998</v>
      </c>
      <c r="E5" s="203">
        <v>174.77800000000002</v>
      </c>
      <c r="F5" s="189">
        <v>219.97400000000002</v>
      </c>
    </row>
    <row r="6" spans="2:20" x14ac:dyDescent="0.25">
      <c r="B6" s="156">
        <v>2018</v>
      </c>
      <c r="C6" s="113">
        <v>504526.64</v>
      </c>
      <c r="D6" s="114">
        <v>36.472000000000001</v>
      </c>
      <c r="E6" s="114">
        <v>163.821</v>
      </c>
      <c r="F6" s="157">
        <v>200.29299999999998</v>
      </c>
    </row>
    <row r="7" spans="2:20" x14ac:dyDescent="0.25">
      <c r="B7" s="156">
        <v>2019</v>
      </c>
      <c r="C7" s="113">
        <f>'spotreby 2015 az 2023'!E116</f>
        <v>588379.65</v>
      </c>
      <c r="D7" s="162">
        <f>'spotreby 2015 az 2023'!G116</f>
        <v>33.553999999999995</v>
      </c>
      <c r="E7" s="162">
        <f>'spotreby 2015 az 2023'!H116</f>
        <v>162.56700000000004</v>
      </c>
      <c r="F7" s="188">
        <f>'spotreby 2015 az 2023'!I116</f>
        <v>196.12100000000001</v>
      </c>
      <c r="R7" s="115"/>
    </row>
    <row r="8" spans="2:20" x14ac:dyDescent="0.25">
      <c r="B8" s="197">
        <v>2020</v>
      </c>
      <c r="C8" s="198">
        <f>'spotreby 2015 az 2023'!E117</f>
        <v>524588.39</v>
      </c>
      <c r="D8" s="244">
        <f>'spotreby 2015 az 2023'!G117</f>
        <v>23.603000000000002</v>
      </c>
      <c r="E8" s="244">
        <f>'spotreby 2015 az 2023'!H117</f>
        <v>150.69099999999997</v>
      </c>
      <c r="F8" s="245">
        <f>'spotreby 2015 az 2023'!I117</f>
        <v>174.29400000000001</v>
      </c>
    </row>
    <row r="9" spans="2:20" x14ac:dyDescent="0.25">
      <c r="B9" s="250">
        <v>2021</v>
      </c>
      <c r="C9" s="251">
        <f>'spotreby 2015 az 2023'!E118</f>
        <v>502427</v>
      </c>
      <c r="D9" s="252">
        <f>'spotreby 2015 az 2023'!G118</f>
        <v>25.779</v>
      </c>
      <c r="E9" s="252">
        <f>'spotreby 2015 az 2023'!H118</f>
        <v>159.59199999999998</v>
      </c>
      <c r="F9" s="253">
        <f>'spotreby 2015 az 2023'!I118</f>
        <v>185.37099999999998</v>
      </c>
    </row>
    <row r="10" spans="2:20" x14ac:dyDescent="0.25">
      <c r="B10" s="250">
        <v>2022</v>
      </c>
      <c r="C10" s="251">
        <f>'spotreby 2015 az 2023'!E119</f>
        <v>880596.14999999979</v>
      </c>
      <c r="D10" s="252">
        <f>'spotreby 2015 az 2023'!G119</f>
        <v>34.002000000000002</v>
      </c>
      <c r="E10" s="252">
        <f>'spotreby 2015 az 2023'!H119</f>
        <v>157.57599999999999</v>
      </c>
      <c r="F10" s="253">
        <f>'spotreby 2015 az 2023'!I119</f>
        <v>191.57799999999997</v>
      </c>
      <c r="T10" s="284"/>
    </row>
    <row r="11" spans="2:20" x14ac:dyDescent="0.25">
      <c r="B11" s="337">
        <v>2023</v>
      </c>
      <c r="C11" s="338">
        <f>'spotreby 2015 az 2023'!E120</f>
        <v>578313.66</v>
      </c>
      <c r="D11" s="339">
        <f>'spotreby 2015 az 2023'!G120</f>
        <v>19.741</v>
      </c>
      <c r="E11" s="339">
        <f>'spotreby 2015 az 2023'!H120</f>
        <v>96.443000000000012</v>
      </c>
      <c r="F11" s="340">
        <f>'spotreby 2015 az 2023'!I120</f>
        <v>116.184</v>
      </c>
    </row>
    <row r="12" spans="2:20" ht="15.75" thickBot="1" x14ac:dyDescent="0.3">
      <c r="B12" s="158">
        <v>2024</v>
      </c>
      <c r="C12" s="91"/>
      <c r="D12" s="91"/>
      <c r="E12" s="91"/>
      <c r="F12" s="246"/>
    </row>
    <row r="14" spans="2:20" x14ac:dyDescent="0.25">
      <c r="E14" s="151"/>
    </row>
  </sheetData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23"/>
  <sheetViews>
    <sheetView tabSelected="1" workbookViewId="0">
      <selection activeCell="J21" sqref="J21"/>
    </sheetView>
  </sheetViews>
  <sheetFormatPr defaultRowHeight="15" x14ac:dyDescent="0.25"/>
  <cols>
    <col min="2" max="2" width="28.140625" customWidth="1"/>
    <col min="3" max="3" width="16.28515625" customWidth="1"/>
    <col min="4" max="4" width="16.7109375" customWidth="1"/>
    <col min="5" max="5" width="15.42578125" customWidth="1"/>
    <col min="6" max="6" width="13.42578125" customWidth="1"/>
    <col min="7" max="7" width="14" customWidth="1"/>
    <col min="8" max="8" width="13.85546875" style="89" customWidth="1"/>
  </cols>
  <sheetData>
    <row r="2" spans="2:8" x14ac:dyDescent="0.25">
      <c r="B2" t="s">
        <v>214</v>
      </c>
    </row>
    <row r="3" spans="2:8" x14ac:dyDescent="0.25">
      <c r="B3" s="353" t="s">
        <v>220</v>
      </c>
      <c r="C3" s="353"/>
      <c r="D3" s="353"/>
      <c r="E3" s="353"/>
      <c r="F3" s="353"/>
    </row>
    <row r="5" spans="2:8" ht="15.75" thickBot="1" x14ac:dyDescent="0.3"/>
    <row r="6" spans="2:8" x14ac:dyDescent="0.25">
      <c r="B6" s="367" t="s">
        <v>215</v>
      </c>
      <c r="C6" s="368" t="s">
        <v>217</v>
      </c>
      <c r="D6" s="368" t="s">
        <v>218</v>
      </c>
      <c r="E6" s="368" t="s">
        <v>219</v>
      </c>
      <c r="F6" s="369" t="s">
        <v>225</v>
      </c>
      <c r="G6" s="369"/>
      <c r="H6" s="370"/>
    </row>
    <row r="7" spans="2:8" ht="15.75" thickBot="1" x14ac:dyDescent="0.3">
      <c r="B7" s="371" t="s">
        <v>216</v>
      </c>
      <c r="C7" s="372"/>
      <c r="D7" s="372"/>
      <c r="E7" s="372"/>
      <c r="F7" s="373" t="s">
        <v>217</v>
      </c>
      <c r="G7" s="373" t="s">
        <v>218</v>
      </c>
      <c r="H7" s="374" t="s">
        <v>219</v>
      </c>
    </row>
    <row r="8" spans="2:8" x14ac:dyDescent="0.25">
      <c r="B8" s="354" t="s">
        <v>223</v>
      </c>
      <c r="C8" s="357" t="s">
        <v>221</v>
      </c>
      <c r="D8" s="358">
        <v>6.77</v>
      </c>
      <c r="E8" s="358">
        <v>1301.0999999999999</v>
      </c>
      <c r="F8" s="359"/>
      <c r="G8" s="359"/>
      <c r="H8" s="387"/>
    </row>
    <row r="9" spans="2:8" ht="15.75" thickBot="1" x14ac:dyDescent="0.3">
      <c r="B9" s="382" t="s">
        <v>222</v>
      </c>
      <c r="C9" s="383">
        <v>172.16</v>
      </c>
      <c r="D9" s="384" t="s">
        <v>224</v>
      </c>
      <c r="E9" s="384">
        <v>1627.8</v>
      </c>
      <c r="F9" s="385"/>
      <c r="G9" s="385"/>
      <c r="H9" s="386">
        <f>E9*30-E8*30</f>
        <v>9801</v>
      </c>
    </row>
    <row r="10" spans="2:8" x14ac:dyDescent="0.25">
      <c r="B10" s="375"/>
      <c r="C10" s="376"/>
      <c r="D10" s="377"/>
      <c r="E10" s="377"/>
      <c r="F10" s="378"/>
      <c r="G10" s="378"/>
      <c r="H10" s="379"/>
    </row>
    <row r="11" spans="2:8" x14ac:dyDescent="0.25">
      <c r="B11" s="366"/>
      <c r="C11" s="360"/>
      <c r="D11" s="361"/>
      <c r="E11" s="361"/>
      <c r="F11" s="362"/>
      <c r="G11" s="362"/>
      <c r="H11" s="380"/>
    </row>
    <row r="12" spans="2:8" x14ac:dyDescent="0.25">
      <c r="B12" s="366"/>
      <c r="C12" s="360"/>
      <c r="D12" s="361"/>
      <c r="E12" s="361"/>
      <c r="F12" s="362"/>
      <c r="G12" s="362"/>
      <c r="H12" s="380"/>
    </row>
    <row r="13" spans="2:8" x14ac:dyDescent="0.25">
      <c r="B13" s="366"/>
      <c r="C13" s="360"/>
      <c r="D13" s="361"/>
      <c r="E13" s="361"/>
      <c r="F13" s="362"/>
      <c r="G13" s="362"/>
      <c r="H13" s="380"/>
    </row>
    <row r="14" spans="2:8" x14ac:dyDescent="0.25">
      <c r="B14" s="366"/>
      <c r="C14" s="360"/>
      <c r="D14" s="361"/>
      <c r="E14" s="361"/>
      <c r="F14" s="362"/>
      <c r="G14" s="362"/>
      <c r="H14" s="380"/>
    </row>
    <row r="15" spans="2:8" x14ac:dyDescent="0.25">
      <c r="B15" s="366"/>
      <c r="C15" s="360"/>
      <c r="D15" s="361"/>
      <c r="E15" s="361"/>
      <c r="F15" s="362"/>
      <c r="G15" s="362"/>
      <c r="H15" s="380"/>
    </row>
    <row r="16" spans="2:8" x14ac:dyDescent="0.25">
      <c r="B16" s="355"/>
      <c r="C16" s="360"/>
      <c r="D16" s="361"/>
      <c r="E16" s="361"/>
      <c r="F16" s="362"/>
      <c r="G16" s="362"/>
      <c r="H16" s="380"/>
    </row>
    <row r="17" spans="2:8" x14ac:dyDescent="0.25">
      <c r="B17" s="355"/>
      <c r="C17" s="360"/>
      <c r="D17" s="361"/>
      <c r="E17" s="361"/>
      <c r="F17" s="362"/>
      <c r="G17" s="362"/>
      <c r="H17" s="380"/>
    </row>
    <row r="18" spans="2:8" x14ac:dyDescent="0.25">
      <c r="B18" s="355"/>
      <c r="C18" s="360"/>
      <c r="D18" s="361"/>
      <c r="E18" s="361"/>
      <c r="F18" s="362"/>
      <c r="G18" s="362"/>
      <c r="H18" s="380"/>
    </row>
    <row r="19" spans="2:8" x14ac:dyDescent="0.25">
      <c r="B19" s="355"/>
      <c r="C19" s="360"/>
      <c r="D19" s="361"/>
      <c r="E19" s="361"/>
      <c r="F19" s="362"/>
      <c r="G19" s="362"/>
      <c r="H19" s="380"/>
    </row>
    <row r="20" spans="2:8" ht="15.75" thickBot="1" x14ac:dyDescent="0.3">
      <c r="B20" s="356"/>
      <c r="C20" s="363"/>
      <c r="D20" s="364"/>
      <c r="E20" s="364"/>
      <c r="F20" s="365"/>
      <c r="G20" s="365"/>
      <c r="H20" s="381"/>
    </row>
    <row r="21" spans="2:8" x14ac:dyDescent="0.25">
      <c r="C21" s="89"/>
      <c r="D21" s="89"/>
      <c r="E21" s="89"/>
    </row>
    <row r="22" spans="2:8" x14ac:dyDescent="0.25">
      <c r="C22" s="89"/>
      <c r="D22" s="89"/>
      <c r="E22" s="89"/>
    </row>
    <row r="23" spans="2:8" x14ac:dyDescent="0.25">
      <c r="C23" s="89"/>
      <c r="D23" s="89"/>
      <c r="E23" s="89"/>
    </row>
  </sheetData>
  <mergeCells count="4">
    <mergeCell ref="F6:H6"/>
    <mergeCell ref="C6:C7"/>
    <mergeCell ref="D6:D7"/>
    <mergeCell ref="E6:E7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3"/>
  <sheetViews>
    <sheetView topLeftCell="A14" workbookViewId="0"/>
  </sheetViews>
  <sheetFormatPr defaultRowHeight="12" x14ac:dyDescent="0.2"/>
  <cols>
    <col min="1" max="1" width="1.42578125" style="10" customWidth="1"/>
    <col min="2" max="2" width="28" style="8" customWidth="1"/>
    <col min="3" max="13" width="9.85546875" style="8" customWidth="1"/>
    <col min="14" max="14" width="9.85546875" style="10" customWidth="1"/>
    <col min="15" max="15" width="7.140625" style="10" customWidth="1"/>
    <col min="16" max="16384" width="9.140625" style="10"/>
  </cols>
  <sheetData>
    <row r="1" spans="2:14" s="8" customFormat="1" hidden="1" x14ac:dyDescent="0.2"/>
    <row r="2" spans="2:14" s="8" customFormat="1" ht="12.75" hidden="1" thickBot="1" x14ac:dyDescent="0.25">
      <c r="B2" s="13"/>
      <c r="C2" s="23" t="s">
        <v>28</v>
      </c>
      <c r="D2" s="23" t="s">
        <v>29</v>
      </c>
      <c r="E2" s="23" t="s">
        <v>30</v>
      </c>
      <c r="F2" s="23" t="s">
        <v>31</v>
      </c>
      <c r="G2" s="23" t="s">
        <v>32</v>
      </c>
      <c r="H2" s="23" t="s">
        <v>33</v>
      </c>
      <c r="I2" s="24" t="s">
        <v>34</v>
      </c>
      <c r="J2" s="23" t="s">
        <v>35</v>
      </c>
      <c r="K2" s="23" t="s">
        <v>36</v>
      </c>
      <c r="L2" s="23" t="s">
        <v>37</v>
      </c>
      <c r="M2" s="23" t="s">
        <v>38</v>
      </c>
      <c r="N2" s="25" t="s">
        <v>39</v>
      </c>
    </row>
    <row r="3" spans="2:14" s="8" customFormat="1" hidden="1" x14ac:dyDescent="0.2">
      <c r="B3" s="26" t="s">
        <v>18</v>
      </c>
      <c r="C3" s="27">
        <v>31717</v>
      </c>
      <c r="D3" s="27">
        <v>29999.35</v>
      </c>
      <c r="E3" s="27">
        <v>27969.61</v>
      </c>
      <c r="F3" s="27">
        <v>19281.400000000001</v>
      </c>
      <c r="G3" s="27">
        <v>10096.01</v>
      </c>
      <c r="H3" s="27">
        <v>4659.1099999999997</v>
      </c>
      <c r="I3" s="27">
        <v>3978.64</v>
      </c>
      <c r="J3" s="27">
        <v>3815.09</v>
      </c>
      <c r="K3" s="27">
        <v>4842.12</v>
      </c>
      <c r="L3" s="27">
        <v>17549.59</v>
      </c>
      <c r="M3" s="27">
        <v>22195.21</v>
      </c>
      <c r="N3" s="28">
        <v>28628.97</v>
      </c>
    </row>
    <row r="4" spans="2:14" s="8" customFormat="1" hidden="1" x14ac:dyDescent="0.2">
      <c r="B4" s="21" t="s">
        <v>23</v>
      </c>
      <c r="C4" s="11">
        <v>29649.85</v>
      </c>
      <c r="D4" s="11">
        <v>21769.05</v>
      </c>
      <c r="E4" s="11">
        <v>21645.27</v>
      </c>
      <c r="F4" s="11">
        <v>13646.07</v>
      </c>
      <c r="G4" s="11">
        <v>10187.66</v>
      </c>
      <c r="H4" s="11">
        <v>4589.9399999999996</v>
      </c>
      <c r="I4" s="11">
        <v>4489.5200000000004</v>
      </c>
      <c r="J4" s="11">
        <v>4107</v>
      </c>
      <c r="K4" s="11">
        <v>3317.75</v>
      </c>
      <c r="L4" s="11">
        <v>12856.58</v>
      </c>
      <c r="M4" s="12"/>
      <c r="N4" s="22"/>
    </row>
    <row r="5" spans="2:14" s="8" customFormat="1" hidden="1" x14ac:dyDescent="0.2">
      <c r="B5" s="30" t="s">
        <v>19</v>
      </c>
      <c r="C5" s="14">
        <v>74454.320000000007</v>
      </c>
      <c r="D5" s="14">
        <v>71788.510000000009</v>
      </c>
      <c r="E5" s="14">
        <v>66382.97</v>
      </c>
      <c r="F5" s="14">
        <v>47249.51</v>
      </c>
      <c r="G5" s="14">
        <v>27440.18</v>
      </c>
      <c r="H5" s="14">
        <v>16855.7</v>
      </c>
      <c r="I5" s="14">
        <v>16328.49</v>
      </c>
      <c r="J5" s="14">
        <v>15661.09</v>
      </c>
      <c r="K5" s="14">
        <v>17393.71</v>
      </c>
      <c r="L5" s="14">
        <v>46184.28</v>
      </c>
      <c r="M5" s="14">
        <v>54464.08</v>
      </c>
      <c r="N5" s="29">
        <v>67776.03</v>
      </c>
    </row>
    <row r="6" spans="2:14" s="8" customFormat="1" hidden="1" x14ac:dyDescent="0.2">
      <c r="B6" s="30" t="s">
        <v>24</v>
      </c>
      <c r="C6" s="14">
        <v>77110.2</v>
      </c>
      <c r="D6" s="14">
        <v>57392.91</v>
      </c>
      <c r="E6" s="14">
        <v>57202.25</v>
      </c>
      <c r="F6" s="14">
        <v>37966.080000000002</v>
      </c>
      <c r="G6" s="14">
        <v>31985.91</v>
      </c>
      <c r="H6" s="14">
        <v>19458.75</v>
      </c>
      <c r="I6" s="14">
        <v>19353.919999999998</v>
      </c>
      <c r="J6" s="14">
        <v>18221</v>
      </c>
      <c r="K6" s="14">
        <v>15286.27</v>
      </c>
      <c r="L6" s="14">
        <v>36922.269999999997</v>
      </c>
      <c r="M6" s="14"/>
      <c r="N6" s="29"/>
    </row>
    <row r="7" spans="2:14" s="8" customFormat="1" hidden="1" x14ac:dyDescent="0.2">
      <c r="B7" s="30" t="s">
        <v>20</v>
      </c>
      <c r="C7" s="16">
        <v>6.0759999999999996</v>
      </c>
      <c r="D7" s="16">
        <v>5.7859999999999996</v>
      </c>
      <c r="E7" s="16">
        <v>4.9749999999999996</v>
      </c>
      <c r="F7" s="16">
        <v>3.274</v>
      </c>
      <c r="G7" s="16">
        <v>1.9510000000000001</v>
      </c>
      <c r="H7" s="16">
        <v>2.0369999999999999</v>
      </c>
      <c r="I7" s="16">
        <v>2.4830000000000001</v>
      </c>
      <c r="J7" s="16">
        <v>2.3149999999999999</v>
      </c>
      <c r="K7" s="16">
        <v>2.0659999999999998</v>
      </c>
      <c r="L7" s="16">
        <v>4.8339999999999996</v>
      </c>
      <c r="M7" s="16">
        <v>4.3259999999999996</v>
      </c>
      <c r="N7" s="18">
        <v>4.8710000000000004</v>
      </c>
    </row>
    <row r="8" spans="2:14" s="8" customFormat="1" hidden="1" x14ac:dyDescent="0.2">
      <c r="B8" s="30" t="s">
        <v>25</v>
      </c>
      <c r="C8" s="16">
        <v>7.36</v>
      </c>
      <c r="D8" s="16">
        <v>5.0609999999999999</v>
      </c>
      <c r="E8" s="16">
        <v>5.101</v>
      </c>
      <c r="F8" s="16">
        <v>2.907</v>
      </c>
      <c r="G8" s="16">
        <v>3.7170000000000001</v>
      </c>
      <c r="H8" s="16">
        <v>3.1840000000000002</v>
      </c>
      <c r="I8" s="16">
        <v>3.3410000000000002</v>
      </c>
      <c r="J8" s="16">
        <v>3.036</v>
      </c>
      <c r="K8" s="16">
        <v>2.21</v>
      </c>
      <c r="L8" s="15">
        <v>3.3</v>
      </c>
      <c r="M8" s="16"/>
      <c r="N8" s="17"/>
    </row>
    <row r="9" spans="2:14" s="8" customFormat="1" hidden="1" x14ac:dyDescent="0.2">
      <c r="B9" s="30" t="s">
        <v>21</v>
      </c>
      <c r="C9" s="16">
        <v>26.08</v>
      </c>
      <c r="D9" s="16">
        <v>24.606000000000002</v>
      </c>
      <c r="E9" s="16">
        <v>23.882000000000001</v>
      </c>
      <c r="F9" s="16">
        <v>15.513</v>
      </c>
      <c r="G9" s="16">
        <v>8.2750000000000004</v>
      </c>
      <c r="H9" s="16">
        <v>2.0350000000000001</v>
      </c>
      <c r="I9" s="16">
        <v>0.57099999999999995</v>
      </c>
      <c r="J9" s="16">
        <v>0.65100000000000002</v>
      </c>
      <c r="K9" s="16">
        <v>2.1949999999999998</v>
      </c>
      <c r="L9" s="16">
        <v>12.114000000000001</v>
      </c>
      <c r="M9" s="16">
        <v>18.134</v>
      </c>
      <c r="N9" s="18">
        <v>24.501999999999999</v>
      </c>
    </row>
    <row r="10" spans="2:14" s="8" customFormat="1" hidden="1" x14ac:dyDescent="0.2">
      <c r="B10" s="30" t="s">
        <v>26</v>
      </c>
      <c r="C10" s="16">
        <v>27.518999999999998</v>
      </c>
      <c r="D10" s="16">
        <v>20.742999999999999</v>
      </c>
      <c r="E10" s="16">
        <v>20.516999999999999</v>
      </c>
      <c r="F10" s="16">
        <v>13.42</v>
      </c>
      <c r="G10" s="16">
        <v>7.5890000000000004</v>
      </c>
      <c r="H10" s="16">
        <v>1.048</v>
      </c>
      <c r="I10" s="16">
        <v>0.66900000000000004</v>
      </c>
      <c r="J10" s="16">
        <v>0.64500000000000002</v>
      </c>
      <c r="K10" s="16">
        <v>0.89600000000000002</v>
      </c>
      <c r="L10" s="16">
        <v>11.762</v>
      </c>
      <c r="M10" s="16"/>
      <c r="N10" s="18"/>
    </row>
    <row r="11" spans="2:14" s="32" customFormat="1" ht="12.75" hidden="1" thickBot="1" x14ac:dyDescent="0.25">
      <c r="B11" s="19" t="s">
        <v>22</v>
      </c>
      <c r="C11" s="20">
        <v>32.155999999999999</v>
      </c>
      <c r="D11" s="20">
        <v>30.392000000000003</v>
      </c>
      <c r="E11" s="20">
        <v>28.856999999999999</v>
      </c>
      <c r="F11" s="20">
        <v>18.786999999999999</v>
      </c>
      <c r="G11" s="20">
        <v>10.226000000000001</v>
      </c>
      <c r="H11" s="20">
        <v>4.0720000000000001</v>
      </c>
      <c r="I11" s="20">
        <v>3.0540000000000003</v>
      </c>
      <c r="J11" s="20">
        <v>2.9660000000000002</v>
      </c>
      <c r="K11" s="20">
        <v>4.2609999999999992</v>
      </c>
      <c r="L11" s="20">
        <v>16.948</v>
      </c>
      <c r="M11" s="20">
        <v>22.46</v>
      </c>
      <c r="N11" s="31">
        <v>29.372999999999998</v>
      </c>
    </row>
    <row r="12" spans="2:14" s="32" customFormat="1" ht="12.75" hidden="1" thickBot="1" x14ac:dyDescent="0.25">
      <c r="B12" s="19" t="s">
        <v>27</v>
      </c>
      <c r="C12" s="20">
        <v>34.878999999999998</v>
      </c>
      <c r="D12" s="20">
        <v>25.803999999999998</v>
      </c>
      <c r="E12" s="20">
        <v>25.617999999999999</v>
      </c>
      <c r="F12" s="20">
        <v>16.326999999999998</v>
      </c>
      <c r="G12" s="20">
        <v>11.306000000000001</v>
      </c>
      <c r="H12" s="20">
        <v>4.2320000000000002</v>
      </c>
      <c r="I12" s="20">
        <v>4.01</v>
      </c>
      <c r="J12" s="20">
        <v>3.681</v>
      </c>
      <c r="K12" s="20">
        <v>3.1059999999999999</v>
      </c>
      <c r="L12" s="20">
        <v>15.062000000000001</v>
      </c>
      <c r="M12" s="33"/>
      <c r="N12" s="34"/>
    </row>
    <row r="13" spans="2:14" s="8" customFormat="1" hidden="1" x14ac:dyDescent="0.2">
      <c r="B13" s="9"/>
    </row>
    <row r="14" spans="2:14" s="8" customFormat="1" ht="12.75" thickBot="1" x14ac:dyDescent="0.25">
      <c r="B14" s="9"/>
    </row>
    <row r="15" spans="2:14" s="8" customFormat="1" ht="12.75" thickBot="1" x14ac:dyDescent="0.25">
      <c r="B15" s="13"/>
      <c r="C15" s="23" t="s">
        <v>28</v>
      </c>
      <c r="D15" s="23" t="s">
        <v>29</v>
      </c>
      <c r="E15" s="23" t="s">
        <v>30</v>
      </c>
      <c r="F15" s="23" t="s">
        <v>31</v>
      </c>
      <c r="G15" s="23" t="s">
        <v>32</v>
      </c>
      <c r="H15" s="23" t="s">
        <v>33</v>
      </c>
      <c r="I15" s="24" t="s">
        <v>34</v>
      </c>
      <c r="J15" s="23" t="s">
        <v>35</v>
      </c>
      <c r="K15" s="23" t="s">
        <v>36</v>
      </c>
      <c r="L15" s="23" t="s">
        <v>37</v>
      </c>
      <c r="M15" s="23" t="s">
        <v>38</v>
      </c>
      <c r="N15" s="36" t="s">
        <v>39</v>
      </c>
    </row>
    <row r="16" spans="2:14" s="8" customFormat="1" x14ac:dyDescent="0.2">
      <c r="B16" s="37" t="s">
        <v>47</v>
      </c>
      <c r="C16" s="27">
        <v>74454.320000000007</v>
      </c>
      <c r="D16" s="27">
        <v>71788.510000000009</v>
      </c>
      <c r="E16" s="27">
        <v>66382.97</v>
      </c>
      <c r="F16" s="27">
        <v>47249.51</v>
      </c>
      <c r="G16" s="27">
        <v>27440.18</v>
      </c>
      <c r="H16" s="27">
        <v>16855.7</v>
      </c>
      <c r="I16" s="27">
        <v>16328.49</v>
      </c>
      <c r="J16" s="27">
        <v>15661.09</v>
      </c>
      <c r="K16" s="27">
        <v>17393.71</v>
      </c>
      <c r="L16" s="27">
        <v>46184.28</v>
      </c>
      <c r="M16" s="27">
        <v>54464.08</v>
      </c>
      <c r="N16" s="28">
        <v>67776.03</v>
      </c>
    </row>
    <row r="17" spans="2:14" s="8" customFormat="1" x14ac:dyDescent="0.2">
      <c r="B17" s="35" t="s">
        <v>48</v>
      </c>
      <c r="C17" s="14">
        <v>77110.2</v>
      </c>
      <c r="D17" s="14">
        <v>57392.91</v>
      </c>
      <c r="E17" s="14">
        <v>57202.25</v>
      </c>
      <c r="F17" s="14">
        <v>37966.080000000002</v>
      </c>
      <c r="G17" s="14">
        <v>31985.91</v>
      </c>
      <c r="H17" s="14">
        <v>19458.75</v>
      </c>
      <c r="I17" s="14">
        <v>19353.919999999998</v>
      </c>
      <c r="J17" s="14">
        <v>18221</v>
      </c>
      <c r="K17" s="14">
        <v>15286.27</v>
      </c>
      <c r="L17" s="14">
        <v>36922.269999999997</v>
      </c>
      <c r="M17" s="14">
        <v>65024.35</v>
      </c>
      <c r="N17" s="38">
        <f>'spotreby 2015 az 2023'!E103</f>
        <v>74632</v>
      </c>
    </row>
    <row r="18" spans="2:14" s="8" customFormat="1" x14ac:dyDescent="0.2">
      <c r="B18" s="41" t="s">
        <v>49</v>
      </c>
      <c r="C18" s="14">
        <v>95405.49</v>
      </c>
      <c r="D18" s="14">
        <v>68814.2</v>
      </c>
      <c r="E18" s="14">
        <v>47864.14</v>
      </c>
      <c r="F18" s="14">
        <v>34910.14</v>
      </c>
      <c r="G18" s="14">
        <f>'spotreby 2015 az 2023'!E41</f>
        <v>27518</v>
      </c>
      <c r="H18" s="14">
        <f>'spotreby 2015 az 2023'!E50</f>
        <v>10410</v>
      </c>
      <c r="I18" s="14">
        <f>'spotreby 2015 az 2023'!E59</f>
        <v>10761</v>
      </c>
      <c r="J18" s="14">
        <f>'spotreby 2015 az 2023'!E68</f>
        <v>11121</v>
      </c>
      <c r="K18" s="14">
        <f>'spotreby 2015 az 2023'!E77</f>
        <v>21074</v>
      </c>
      <c r="L18" s="14">
        <f>'spotreby 2015 az 2023'!E86</f>
        <v>41146.620000000003</v>
      </c>
      <c r="M18" s="14">
        <f>'spotreby 2015 az 2023'!E95</f>
        <v>57466.86</v>
      </c>
      <c r="N18" s="38">
        <f>'spotreby 2015 az 2023'!E104</f>
        <v>77338.789999999994</v>
      </c>
    </row>
    <row r="19" spans="2:14" s="8" customFormat="1" x14ac:dyDescent="0.2">
      <c r="B19" s="41" t="s">
        <v>80</v>
      </c>
      <c r="C19" s="14">
        <f>'spotreby 2015 az 2023'!E6</f>
        <v>71329.070000000007</v>
      </c>
      <c r="D19" s="14">
        <f>'spotreby 2015 az 2023'!E15</f>
        <v>81404.34</v>
      </c>
      <c r="E19" s="14">
        <f>'spotreby 2015 az 2023'!E24</f>
        <v>84458</v>
      </c>
      <c r="F19" s="14">
        <f>'spotreby 2015 az 2023'!E33</f>
        <v>31128.57</v>
      </c>
      <c r="G19" s="14">
        <f>'spotreby 2015 az 2023'!E42</f>
        <v>12911</v>
      </c>
      <c r="H19" s="14">
        <f>'spotreby 2015 az 2023'!E51</f>
        <v>12846</v>
      </c>
      <c r="I19" s="14">
        <f>'spotreby 2015 az 2023'!E60</f>
        <v>12129</v>
      </c>
      <c r="J19" s="14">
        <f>'spotreby 2015 az 2023'!E69</f>
        <v>11911.95</v>
      </c>
      <c r="K19" s="14">
        <f>'spotreby 2015 az 2023'!E78</f>
        <v>12842.15</v>
      </c>
      <c r="L19" s="14">
        <f>'spotreby 2015 az 2023'!E87</f>
        <v>33622</v>
      </c>
      <c r="M19" s="14">
        <f>'spotreby 2015 az 2023'!E96</f>
        <v>59090</v>
      </c>
      <c r="N19" s="38">
        <f>'spotreby 2015 az 2023'!E105</f>
        <v>80854.559999999998</v>
      </c>
    </row>
    <row r="20" spans="2:14" s="8" customFormat="1" x14ac:dyDescent="0.2">
      <c r="B20" s="41" t="s">
        <v>82</v>
      </c>
      <c r="C20" s="14">
        <f>'spotreby 2015 az 2023'!E7</f>
        <v>100535</v>
      </c>
      <c r="D20" s="14">
        <f>'spotreby 2015 az 2023'!E16</f>
        <v>83868</v>
      </c>
      <c r="E20" s="14">
        <f>'spotreby 2015 az 2023'!E25</f>
        <v>74183</v>
      </c>
      <c r="F20" s="14">
        <f>'spotreby 2015 az 2023'!E34</f>
        <v>50355</v>
      </c>
      <c r="G20" s="14">
        <f>'spotreby 2015 az 2023'!E43</f>
        <v>37168.65</v>
      </c>
      <c r="H20" s="14">
        <f>'spotreby 2015 az 2023'!E52</f>
        <v>14563</v>
      </c>
      <c r="I20" s="14">
        <f>'spotreby 2015 az 2023'!E61</f>
        <v>13176</v>
      </c>
      <c r="J20" s="14">
        <f>'spotreby 2015 az 2023'!E70</f>
        <v>13756</v>
      </c>
      <c r="K20" s="14">
        <f>'spotreby 2015 az 2023'!E79</f>
        <v>16438</v>
      </c>
      <c r="L20" s="14">
        <f>'spotreby 2015 az 2023'!E88</f>
        <v>38787</v>
      </c>
      <c r="M20" s="14">
        <f>'spotreby 2015 az 2023'!E97</f>
        <v>69331</v>
      </c>
      <c r="N20" s="38">
        <f>'spotreby 2015 az 2023'!E106</f>
        <v>76219</v>
      </c>
    </row>
    <row r="21" spans="2:14" s="8" customFormat="1" ht="12.75" thickBot="1" x14ac:dyDescent="0.25">
      <c r="B21" s="206" t="s">
        <v>122</v>
      </c>
      <c r="C21" s="207">
        <f>'spotreby 2015 az 2023'!E8</f>
        <v>87415.39</v>
      </c>
      <c r="D21" s="207">
        <f>'spotreby 2015 az 2023'!E17</f>
        <v>84307</v>
      </c>
      <c r="E21" s="207">
        <f>'spotreby 2015 az 2023'!E26</f>
        <v>66029</v>
      </c>
      <c r="F21" s="207">
        <f>'spotreby 2015 az 2023'!E35</f>
        <v>30238</v>
      </c>
      <c r="G21" s="207">
        <f>'spotreby 2015 az 2023'!E44</f>
        <v>27165</v>
      </c>
      <c r="H21" s="207">
        <f>'spotreby 2015 az 2023'!E53</f>
        <v>15471</v>
      </c>
      <c r="I21" s="207">
        <f>'spotreby 2015 az 2023'!E62</f>
        <v>11905</v>
      </c>
      <c r="J21" s="207">
        <f>'spotreby 2015 az 2023'!E71</f>
        <v>11848</v>
      </c>
      <c r="K21" s="207">
        <f>'spotreby 2015 az 2023'!E80</f>
        <v>13031</v>
      </c>
      <c r="L21" s="207">
        <f>'spotreby 2015 az 2023'!E89</f>
        <v>40511</v>
      </c>
      <c r="M21" s="207">
        <f>'spotreby 2015 az 2023'!E98</f>
        <v>58568</v>
      </c>
      <c r="N21" s="208">
        <f>'spotreby 2015 az 2023'!E107</f>
        <v>78100</v>
      </c>
    </row>
    <row r="22" spans="2:14" s="8" customFormat="1" x14ac:dyDescent="0.2">
      <c r="B22" s="194" t="s">
        <v>83</v>
      </c>
      <c r="C22" s="195">
        <f>'spotreby 2015 az 2023'!I3</f>
        <v>32.155999999999999</v>
      </c>
      <c r="D22" s="195">
        <f>'spotreby 2015 az 2023'!I12</f>
        <v>30.392000000000003</v>
      </c>
      <c r="E22" s="195">
        <f>'spotreby 2015 az 2023'!I21</f>
        <v>28.856999999999999</v>
      </c>
      <c r="F22" s="195">
        <f>'spotreby 2015 az 2023'!I30</f>
        <v>19.787000000000003</v>
      </c>
      <c r="G22" s="195">
        <f>'spotreby 2015 az 2023'!I39</f>
        <v>10.226000000000001</v>
      </c>
      <c r="H22" s="195">
        <f>'spotreby 2015 az 2023'!I48</f>
        <v>4.0720000000000001</v>
      </c>
      <c r="I22" s="195">
        <f>'spotreby 2015 az 2023'!I57</f>
        <v>3.0540000000000003</v>
      </c>
      <c r="J22" s="195">
        <f>'spotreby 2015 az 2023'!I66</f>
        <v>2.9660000000000002</v>
      </c>
      <c r="K22" s="195">
        <f>'spotreby 2015 az 2023'!I75</f>
        <v>4.2609999999999992</v>
      </c>
      <c r="L22" s="195">
        <f>'spotreby 2015 az 2023'!I84</f>
        <v>16.948</v>
      </c>
      <c r="M22" s="195">
        <f>'spotreby 2015 az 2023'!I93</f>
        <v>22.46</v>
      </c>
      <c r="N22" s="196">
        <f>'spotreby 2015 az 2023'!I102</f>
        <v>29.372999999999998</v>
      </c>
    </row>
    <row r="23" spans="2:14" s="8" customFormat="1" x14ac:dyDescent="0.2">
      <c r="B23" s="35" t="s">
        <v>84</v>
      </c>
      <c r="C23" s="16">
        <f>'spotreby 2015 az 2023'!I4</f>
        <v>34.878999999999998</v>
      </c>
      <c r="D23" s="16">
        <f>'spotreby 2015 az 2023'!I13</f>
        <v>25.803999999999998</v>
      </c>
      <c r="E23" s="16">
        <f>'spotreby 2015 az 2023'!I22</f>
        <v>25.617999999999999</v>
      </c>
      <c r="F23" s="16">
        <f>'spotreby 2015 az 2023'!I31</f>
        <v>16.326999999999998</v>
      </c>
      <c r="G23" s="16">
        <f>'spotreby 2015 az 2023'!I40</f>
        <v>11.306000000000001</v>
      </c>
      <c r="H23" s="16">
        <f>'spotreby 2015 az 2023'!I49</f>
        <v>4.2320000000000002</v>
      </c>
      <c r="I23" s="16">
        <f>'spotreby 2015 az 2023'!I58</f>
        <v>4.01</v>
      </c>
      <c r="J23" s="16">
        <f>'spotreby 2015 az 2023'!I67</f>
        <v>3.681</v>
      </c>
      <c r="K23" s="16">
        <f>'spotreby 2015 az 2023'!I76</f>
        <v>3.1059999999999999</v>
      </c>
      <c r="L23" s="16">
        <f>'spotreby 2015 az 2023'!I85</f>
        <v>15.062000000000001</v>
      </c>
      <c r="M23" s="16">
        <f>'spotreby 2015 az 2023'!I94</f>
        <v>28.067</v>
      </c>
      <c r="N23" s="18">
        <f>'spotreby 2015 az 2023'!I103</f>
        <v>33.247999999999998</v>
      </c>
    </row>
    <row r="24" spans="2:14" s="8" customFormat="1" x14ac:dyDescent="0.2">
      <c r="B24" s="35" t="s">
        <v>85</v>
      </c>
      <c r="C24" s="16">
        <f>'spotreby 2015 az 2023'!I5</f>
        <v>45.787999999999997</v>
      </c>
      <c r="D24" s="16">
        <f>'spotreby 2015 az 2023'!I14</f>
        <v>32.642000000000003</v>
      </c>
      <c r="E24" s="16">
        <f>'spotreby 2015 az 2023'!I23</f>
        <v>21.969000000000001</v>
      </c>
      <c r="F24" s="16">
        <f>'spotreby 2015 az 2023'!I32</f>
        <v>15.234999999999999</v>
      </c>
      <c r="G24" s="16">
        <f>'spotreby 2015 az 2023'!I41</f>
        <v>10.504</v>
      </c>
      <c r="H24" s="16">
        <f>'spotreby 2015 az 2023'!I50</f>
        <v>1.7290000000000001</v>
      </c>
      <c r="I24" s="16">
        <f>'spotreby 2015 az 2023'!I59</f>
        <v>1.7829999999999999</v>
      </c>
      <c r="J24" s="16">
        <f>'spotreby 2015 az 2023'!I68</f>
        <v>1.8660000000000001</v>
      </c>
      <c r="K24" s="16">
        <f>'spotreby 2015 az 2023'!I77</f>
        <v>8.5309999999999988</v>
      </c>
      <c r="L24" s="16">
        <f>'spotreby 2015 az 2023'!I86</f>
        <v>17.689</v>
      </c>
      <c r="M24" s="16">
        <f>'spotreby 2015 az 2023'!I95</f>
        <v>25.91</v>
      </c>
      <c r="N24" s="18">
        <f>'spotreby 2015 az 2023'!I104</f>
        <v>36.327999999999996</v>
      </c>
    </row>
    <row r="25" spans="2:14" s="8" customFormat="1" x14ac:dyDescent="0.2">
      <c r="B25" s="35" t="s">
        <v>86</v>
      </c>
      <c r="C25" s="16">
        <f>'spotreby 2015 az 2023'!I6</f>
        <v>31.026</v>
      </c>
      <c r="D25" s="16">
        <f>'spotreby 2015 az 2023'!I15</f>
        <v>34.841000000000001</v>
      </c>
      <c r="E25" s="16">
        <f>'spotreby 2015 az 2023'!I24</f>
        <v>38.984999999999999</v>
      </c>
      <c r="F25" s="16">
        <f>'spotreby 2015 az 2023'!I33</f>
        <v>11.743</v>
      </c>
      <c r="G25" s="16">
        <f>'spotreby 2015 az 2023'!I42</f>
        <v>2.6779999999999999</v>
      </c>
      <c r="H25" s="16">
        <f>'spotreby 2015 az 2023'!I51</f>
        <v>2.3210000000000002</v>
      </c>
      <c r="I25" s="16">
        <f>'spotreby 2015 az 2023'!I60</f>
        <v>1.9220000000000002</v>
      </c>
      <c r="J25" s="16">
        <f>'spotreby 2015 az 2023'!I69</f>
        <v>1.875</v>
      </c>
      <c r="K25" s="16">
        <f>'spotreby 2015 az 2023'!I78</f>
        <v>2.5329999999999999</v>
      </c>
      <c r="L25" s="16">
        <f>'spotreby 2015 az 2023'!I87</f>
        <v>12.698</v>
      </c>
      <c r="M25" s="16">
        <f>'spotreby 2015 az 2023'!I96</f>
        <v>24.862000000000002</v>
      </c>
      <c r="N25" s="18">
        <f>'spotreby 2015 az 2023'!I105</f>
        <v>34.808999999999997</v>
      </c>
    </row>
    <row r="26" spans="2:14" s="8" customFormat="1" x14ac:dyDescent="0.2">
      <c r="B26" s="125" t="s">
        <v>87</v>
      </c>
      <c r="C26" s="126">
        <f>'spotreby 2015 az 2023'!I7</f>
        <v>37.244999999999997</v>
      </c>
      <c r="D26" s="126">
        <f>'spotreby 2015 az 2023'!I16</f>
        <v>30.04</v>
      </c>
      <c r="E26" s="126">
        <f>'spotreby 2015 az 2023'!I25</f>
        <v>26.212</v>
      </c>
      <c r="F26" s="126">
        <f>'spotreby 2015 az 2023'!I34</f>
        <v>17.004999999999999</v>
      </c>
      <c r="G26" s="126">
        <f>'spotreby 2015 az 2023'!I43</f>
        <v>11.151</v>
      </c>
      <c r="H26" s="126">
        <f>'spotreby 2015 az 2023'!I52</f>
        <v>2.2749999999999999</v>
      </c>
      <c r="I26" s="126">
        <f>'spotreby 2015 az 2023'!I61</f>
        <v>1.7930000000000001</v>
      </c>
      <c r="J26" s="126">
        <f>'spotreby 2015 az 2023'!I70</f>
        <v>1.901</v>
      </c>
      <c r="K26" s="126">
        <f>'spotreby 2015 az 2023'!I79</f>
        <v>3.327</v>
      </c>
      <c r="L26" s="126">
        <f>'spotreby 2015 az 2023'!I88</f>
        <v>12.124000000000001</v>
      </c>
      <c r="M26" s="126">
        <f>'spotreby 2015 az 2023'!I97</f>
        <v>24.672000000000001</v>
      </c>
      <c r="N26" s="127">
        <f>'spotreby 2015 az 2023'!I106</f>
        <v>28.376000000000001</v>
      </c>
    </row>
    <row r="27" spans="2:14" s="8" customFormat="1" ht="12.75" thickBot="1" x14ac:dyDescent="0.25">
      <c r="B27" s="209" t="s">
        <v>123</v>
      </c>
      <c r="C27" s="20">
        <f>'spotreby 2015 az 2023'!I8</f>
        <v>32.106000000000002</v>
      </c>
      <c r="D27" s="20">
        <f>'spotreby 2015 az 2023'!I17</f>
        <v>29.588000000000001</v>
      </c>
      <c r="E27" s="20">
        <f>'spotreby 2015 az 2023'!I26</f>
        <v>22.760999999999999</v>
      </c>
      <c r="F27" s="20">
        <f>'spotreby 2015 az 2023'!I35</f>
        <v>12.021999999999998</v>
      </c>
      <c r="G27" s="20">
        <f>'spotreby 2015 az 2023'!I44</f>
        <v>7.6979999999999995</v>
      </c>
      <c r="H27" s="20">
        <f>'spotreby 2015 az 2023'!I53</f>
        <v>3.3570000000000002</v>
      </c>
      <c r="I27" s="20">
        <f>'spotreby 2015 az 2023'!I62</f>
        <v>1.7669999999999999</v>
      </c>
      <c r="J27" s="20">
        <f>'spotreby 2015 az 2023'!I71</f>
        <v>1.7730000000000001</v>
      </c>
      <c r="K27" s="20">
        <f>'spotreby 2015 az 2023'!I80</f>
        <v>2.2509999999999999</v>
      </c>
      <c r="L27" s="20">
        <f>'spotreby 2015 az 2023'!I89</f>
        <v>13.260999999999999</v>
      </c>
      <c r="M27" s="20">
        <f>'spotreby 2015 az 2023'!I98</f>
        <v>20.238</v>
      </c>
      <c r="N27" s="31">
        <f>'spotreby 2015 az 2023'!I107</f>
        <v>27.471999999999998</v>
      </c>
    </row>
    <row r="28" spans="2:14" s="8" customFormat="1" x14ac:dyDescent="0.2"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</row>
    <row r="29" spans="2:14" s="8" customFormat="1" x14ac:dyDescent="0.2">
      <c r="C29" s="181" t="s">
        <v>139</v>
      </c>
    </row>
    <row r="30" spans="2:14" s="8" customFormat="1" x14ac:dyDescent="0.2">
      <c r="D30" s="181"/>
    </row>
    <row r="31" spans="2:14" s="8" customFormat="1" x14ac:dyDescent="0.2"/>
    <row r="32" spans="2:14" s="8" customFormat="1" x14ac:dyDescent="0.2"/>
    <row r="33" s="8" customFormat="1" x14ac:dyDescent="0.2"/>
    <row r="57" s="8" customFormat="1" x14ac:dyDescent="0.2"/>
    <row r="58" s="8" customFormat="1" x14ac:dyDescent="0.2"/>
    <row r="59" s="8" customFormat="1" x14ac:dyDescent="0.2"/>
    <row r="61" s="8" customFormat="1" x14ac:dyDescent="0.2"/>
    <row r="62" s="8" customFormat="1" x14ac:dyDescent="0.2"/>
    <row r="63" s="8" customFormat="1" x14ac:dyDescent="0.2"/>
    <row r="65" spans="2:4" s="8" customFormat="1" x14ac:dyDescent="0.2"/>
    <row r="66" spans="2:4" s="8" customFormat="1" x14ac:dyDescent="0.2">
      <c r="B66" s="32"/>
      <c r="C66" s="32"/>
      <c r="D66" s="32"/>
    </row>
    <row r="67" spans="2:4" s="8" customFormat="1" x14ac:dyDescent="0.2"/>
    <row r="68" spans="2:4" s="8" customFormat="1" x14ac:dyDescent="0.2"/>
    <row r="70" spans="2:4" s="8" customFormat="1" x14ac:dyDescent="0.2"/>
    <row r="72" spans="2:4" s="8" customFormat="1" x14ac:dyDescent="0.2"/>
    <row r="73" spans="2:4" s="8" customFormat="1" x14ac:dyDescent="0.2"/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O13"/>
  <sheetViews>
    <sheetView workbookViewId="0">
      <selection activeCell="K9" sqref="K9"/>
    </sheetView>
  </sheetViews>
  <sheetFormatPr defaultRowHeight="15" x14ac:dyDescent="0.25"/>
  <cols>
    <col min="2" max="2" width="27.7109375" bestFit="1" customWidth="1"/>
    <col min="3" max="7" width="9.140625" style="89"/>
  </cols>
  <sheetData>
    <row r="2" spans="2:15" x14ac:dyDescent="0.25">
      <c r="K2" s="185"/>
      <c r="L2" s="185"/>
    </row>
    <row r="3" spans="2:15" ht="15.75" thickBot="1" x14ac:dyDescent="0.3"/>
    <row r="4" spans="2:15" ht="15.75" thickBot="1" x14ac:dyDescent="0.3">
      <c r="B4" s="92"/>
      <c r="C4" s="227">
        <v>2015</v>
      </c>
      <c r="D4" s="93">
        <v>2016</v>
      </c>
      <c r="E4" s="93">
        <v>2017</v>
      </c>
      <c r="F4" s="93">
        <v>2018</v>
      </c>
      <c r="G4" s="111">
        <v>2019</v>
      </c>
      <c r="H4" s="111">
        <v>2020</v>
      </c>
      <c r="I4" s="204">
        <v>2021</v>
      </c>
      <c r="J4" s="223">
        <v>2022</v>
      </c>
      <c r="K4" s="238">
        <v>2023</v>
      </c>
      <c r="L4" s="238">
        <v>2024</v>
      </c>
      <c r="M4" s="239">
        <v>2025</v>
      </c>
    </row>
    <row r="5" spans="2:15" x14ac:dyDescent="0.25">
      <c r="B5" s="94" t="s">
        <v>92</v>
      </c>
      <c r="C5" s="228">
        <v>1155</v>
      </c>
      <c r="D5" s="229">
        <v>985</v>
      </c>
      <c r="E5" s="240">
        <v>926</v>
      </c>
      <c r="F5" s="229">
        <v>1184</v>
      </c>
      <c r="G5" s="230">
        <v>1743</v>
      </c>
      <c r="H5" s="231">
        <v>1564</v>
      </c>
      <c r="I5" s="232">
        <v>1351</v>
      </c>
      <c r="J5" s="233">
        <v>3814</v>
      </c>
      <c r="K5" s="331">
        <v>6050</v>
      </c>
      <c r="L5" s="234"/>
      <c r="M5" s="235"/>
    </row>
    <row r="6" spans="2:15" x14ac:dyDescent="0.25">
      <c r="B6" s="95" t="s">
        <v>93</v>
      </c>
      <c r="C6" s="236">
        <v>736</v>
      </c>
      <c r="D6" s="90">
        <v>627</v>
      </c>
      <c r="E6" s="241">
        <v>590</v>
      </c>
      <c r="F6" s="90">
        <v>754</v>
      </c>
      <c r="G6" s="112">
        <v>1110</v>
      </c>
      <c r="H6" s="222">
        <v>1302</v>
      </c>
      <c r="I6" s="205">
        <v>1124</v>
      </c>
      <c r="J6" s="224">
        <v>2426</v>
      </c>
      <c r="K6" s="332">
        <v>6050</v>
      </c>
      <c r="L6" s="226"/>
      <c r="M6" s="237"/>
    </row>
    <row r="7" spans="2:15" ht="15.75" thickBot="1" x14ac:dyDescent="0.3">
      <c r="B7" s="96" t="s">
        <v>94</v>
      </c>
      <c r="C7" s="158">
        <v>243</v>
      </c>
      <c r="D7" s="91">
        <f>C7</f>
        <v>243</v>
      </c>
      <c r="E7" s="91">
        <f>C7</f>
        <v>243</v>
      </c>
      <c r="F7" s="91">
        <f>C7</f>
        <v>243</v>
      </c>
      <c r="G7" s="110">
        <f>C7</f>
        <v>243</v>
      </c>
      <c r="H7" s="110">
        <v>220</v>
      </c>
      <c r="I7" s="91">
        <v>200</v>
      </c>
      <c r="J7" s="225">
        <v>224</v>
      </c>
      <c r="K7" s="91">
        <v>224</v>
      </c>
      <c r="L7" s="199"/>
      <c r="M7" s="200"/>
    </row>
    <row r="9" spans="2:15" x14ac:dyDescent="0.25">
      <c r="E9" s="89" t="s">
        <v>119</v>
      </c>
      <c r="F9" s="183">
        <f t="shared" ref="F9:H10" si="0">F5/E5</f>
        <v>1.2786177105831533</v>
      </c>
      <c r="G9" s="183">
        <f t="shared" si="0"/>
        <v>1.4721283783783783</v>
      </c>
      <c r="H9" s="220">
        <f t="shared" si="0"/>
        <v>0.89730349971313828</v>
      </c>
      <c r="I9" s="220">
        <f t="shared" ref="I9:K10" si="1">I5/H5</f>
        <v>0.86381074168797956</v>
      </c>
      <c r="J9" s="218">
        <f t="shared" si="1"/>
        <v>2.8230940044411548</v>
      </c>
      <c r="K9" s="333">
        <f t="shared" si="1"/>
        <v>1.5862611431567908</v>
      </c>
      <c r="N9" t="s">
        <v>137</v>
      </c>
    </row>
    <row r="10" spans="2:15" x14ac:dyDescent="0.25">
      <c r="C10" s="89" t="s">
        <v>196</v>
      </c>
      <c r="E10" s="89" t="s">
        <v>120</v>
      </c>
      <c r="F10" s="184">
        <f t="shared" si="0"/>
        <v>1.2779661016949153</v>
      </c>
      <c r="G10" s="184">
        <f t="shared" si="0"/>
        <v>1.4721485411140585</v>
      </c>
      <c r="H10" s="184">
        <f t="shared" si="0"/>
        <v>1.172972972972973</v>
      </c>
      <c r="I10" s="221">
        <f t="shared" si="1"/>
        <v>0.86328725038402454</v>
      </c>
      <c r="J10" s="219">
        <f t="shared" si="1"/>
        <v>2.1583629893238436</v>
      </c>
      <c r="K10" s="334">
        <f t="shared" si="1"/>
        <v>2.4938169826875516</v>
      </c>
      <c r="L10" s="161"/>
      <c r="M10" s="161"/>
      <c r="N10" s="161"/>
      <c r="O10" s="161"/>
    </row>
    <row r="11" spans="2:15" x14ac:dyDescent="0.25">
      <c r="E11" s="89" t="s">
        <v>119</v>
      </c>
      <c r="F11" s="183">
        <v>1.2786177105831533</v>
      </c>
      <c r="G11" s="183">
        <f>G5/E5</f>
        <v>1.8822894168466522</v>
      </c>
      <c r="H11" s="183">
        <f>H5/E5</f>
        <v>1.6889848812095032</v>
      </c>
      <c r="I11" s="183">
        <f>I5/E5</f>
        <v>1.4589632829373651</v>
      </c>
      <c r="J11" s="335">
        <f>J5/E5</f>
        <v>4.1187904967602593</v>
      </c>
      <c r="K11" s="333">
        <f>K5/E5</f>
        <v>6.5334773218142548</v>
      </c>
      <c r="N11" t="s">
        <v>138</v>
      </c>
    </row>
    <row r="12" spans="2:15" x14ac:dyDescent="0.25">
      <c r="E12" s="182" t="s">
        <v>120</v>
      </c>
      <c r="F12" s="184">
        <v>1.2779661016949153</v>
      </c>
      <c r="G12" s="184">
        <f>G6/E6</f>
        <v>1.8813559322033899</v>
      </c>
      <c r="H12" s="184">
        <f>H6/E6</f>
        <v>2.2067796610169492</v>
      </c>
      <c r="I12" s="184">
        <f>I6/E6</f>
        <v>1.9050847457627118</v>
      </c>
      <c r="J12" s="336">
        <f>J6/E6</f>
        <v>4.1118644067796613</v>
      </c>
      <c r="K12" s="334">
        <f>K6/E6</f>
        <v>10.254237288135593</v>
      </c>
      <c r="L12" s="161"/>
      <c r="M12" s="161"/>
      <c r="N12" s="161"/>
      <c r="O12" s="161"/>
    </row>
    <row r="13" spans="2:15" x14ac:dyDescent="0.25">
      <c r="I13" s="160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6"/>
  <sheetViews>
    <sheetView workbookViewId="0">
      <selection activeCell="E10" sqref="E10"/>
    </sheetView>
  </sheetViews>
  <sheetFormatPr defaultRowHeight="15" x14ac:dyDescent="0.25"/>
  <cols>
    <col min="1" max="1" width="0.85546875" customWidth="1"/>
    <col min="2" max="2" width="18" customWidth="1"/>
    <col min="4" max="4" width="21.7109375" bestFit="1" customWidth="1"/>
    <col min="5" max="5" width="23.5703125" bestFit="1" customWidth="1"/>
    <col min="6" max="6" width="19.85546875" customWidth="1"/>
    <col min="7" max="7" width="12.140625" customWidth="1"/>
    <col min="8" max="8" width="8.42578125" customWidth="1"/>
    <col min="9" max="9" width="10.28515625" customWidth="1"/>
  </cols>
  <sheetData>
    <row r="3" spans="2:9" x14ac:dyDescent="0.25">
      <c r="B3" s="348" t="s">
        <v>213</v>
      </c>
      <c r="C3" s="351" t="s">
        <v>197</v>
      </c>
      <c r="D3" s="351" t="s">
        <v>198</v>
      </c>
      <c r="E3" s="348" t="s">
        <v>199</v>
      </c>
      <c r="F3" s="351" t="s">
        <v>200</v>
      </c>
      <c r="G3" s="348" t="s">
        <v>201</v>
      </c>
      <c r="H3" s="348" t="s">
        <v>202</v>
      </c>
      <c r="I3" s="348" t="s">
        <v>203</v>
      </c>
    </row>
    <row r="4" spans="2:9" x14ac:dyDescent="0.25">
      <c r="B4" s="350"/>
      <c r="C4" s="351"/>
      <c r="D4" s="351"/>
      <c r="E4" s="350"/>
      <c r="F4" s="352"/>
      <c r="G4" s="349"/>
      <c r="H4" s="349"/>
      <c r="I4" s="349"/>
    </row>
    <row r="5" spans="2:9" ht="35.25" customHeight="1" x14ac:dyDescent="0.25">
      <c r="B5" s="345" t="s">
        <v>204</v>
      </c>
      <c r="C5" s="346" t="s">
        <v>205</v>
      </c>
      <c r="D5" s="346" t="s">
        <v>206</v>
      </c>
      <c r="E5" s="345" t="s">
        <v>207</v>
      </c>
      <c r="F5" s="346" t="s">
        <v>208</v>
      </c>
      <c r="G5" s="347" t="s">
        <v>209</v>
      </c>
      <c r="H5" s="347">
        <v>3</v>
      </c>
      <c r="I5" s="347">
        <v>10</v>
      </c>
    </row>
    <row r="6" spans="2:9" ht="38.25" customHeight="1" x14ac:dyDescent="0.25">
      <c r="B6" s="345" t="s">
        <v>204</v>
      </c>
      <c r="C6" s="346" t="s">
        <v>205</v>
      </c>
      <c r="D6" s="346" t="s">
        <v>210</v>
      </c>
      <c r="E6" s="345" t="s">
        <v>211</v>
      </c>
      <c r="F6" s="346" t="s">
        <v>212</v>
      </c>
      <c r="G6" s="347" t="s">
        <v>209</v>
      </c>
      <c r="H6" s="347">
        <v>3</v>
      </c>
      <c r="I6" s="347">
        <v>16</v>
      </c>
    </row>
  </sheetData>
  <mergeCells count="8">
    <mergeCell ref="H3:H4"/>
    <mergeCell ref="I3:I4"/>
    <mergeCell ref="B3:B4"/>
    <mergeCell ref="C3:C4"/>
    <mergeCell ref="D3:D4"/>
    <mergeCell ref="E3:E4"/>
    <mergeCell ref="F3:F4"/>
    <mergeCell ref="G3:G4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spotreby 2015 az 2023</vt:lpstr>
      <vt:lpstr>chod spotreby 2020-2023</vt:lpstr>
      <vt:lpstr>rocni spotřeby</vt:lpstr>
      <vt:lpstr>Konírna a domeček 23</vt:lpstr>
      <vt:lpstr>chod spotreby 2015-2019</vt:lpstr>
      <vt:lpstr>růst ceny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Váňa</dc:creator>
  <cp:lastModifiedBy>Jan Váňa</cp:lastModifiedBy>
  <cp:lastPrinted>2023-07-28T10:33:21Z</cp:lastPrinted>
  <dcterms:created xsi:type="dcterms:W3CDTF">2016-07-15T05:38:56Z</dcterms:created>
  <dcterms:modified xsi:type="dcterms:W3CDTF">2023-10-23T12:04:50Z</dcterms:modified>
</cp:coreProperties>
</file>